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freshfel365.sharepoint.com/sites/common1/Shared Documents/NEW SYSTEM/WAPA/Stocks/WAPA Stocks/Send/"/>
    </mc:Choice>
  </mc:AlternateContent>
  <xr:revisionPtr revIDLastSave="951" documentId="13_ncr:4000b_{7D3BE24C-6C16-4D3C-9004-78363112EB20}" xr6:coauthVersionLast="47" xr6:coauthVersionMax="47" xr10:uidLastSave="{C2D6DCF9-D6F9-4DDE-AAF6-49685E047B36}"/>
  <bookViews>
    <workbookView xWindow="-28920" yWindow="-120" windowWidth="29040" windowHeight="16440" tabRatio="786" firstSheet="1" activeTab="2" xr2:uid="{00000000-000D-0000-FFFF-FFFF00000000}"/>
  </bookViews>
  <sheets>
    <sheet name="Intro" sheetId="22" r:id="rId1"/>
    <sheet name="US" sheetId="9" r:id="rId2"/>
    <sheet name="Europe - country" sheetId="1" r:id="rId3"/>
    <sheet name="Europe - variety" sheetId="2" r:id="rId4"/>
    <sheet name="Austria" sheetId="25" r:id="rId5"/>
    <sheet name="Belgium" sheetId="26" r:id="rId6"/>
    <sheet name="Czech Republic" sheetId="27" r:id="rId7"/>
    <sheet name="Denmark" sheetId="28" r:id="rId8"/>
    <sheet name="France" sheetId="35" r:id="rId9"/>
    <sheet name="Germany" sheetId="29" r:id="rId10"/>
    <sheet name="Italy" sheetId="31" r:id="rId11"/>
    <sheet name="Poland" sheetId="36" r:id="rId12"/>
    <sheet name="Portugal" sheetId="38" r:id="rId13"/>
    <sheet name="Spain" sheetId="33" r:id="rId14"/>
    <sheet name="Switzerland" sheetId="34" r:id="rId15"/>
    <sheet name="Netherlands" sheetId="32" r:id="rId16"/>
    <sheet name="UK" sheetId="30" r:id="rId17"/>
  </sheets>
  <definedNames>
    <definedName name="_xlnm.Print_Area" localSheetId="2">'Europe - country'!$A$19:$R$33</definedName>
    <definedName name="_xlnm.Print_Area" localSheetId="3">'Europe - variety'!$A$35:$R$44</definedName>
    <definedName name="_xlnm.Print_Area" localSheetId="1">US!$A$1:$Z$41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29" l="1"/>
  <c r="E21" i="29"/>
  <c r="F19" i="28" l="1"/>
  <c r="F29" i="31" l="1"/>
  <c r="E29" i="31"/>
  <c r="E43" i="2"/>
  <c r="E42" i="2"/>
  <c r="E41" i="2"/>
  <c r="E40" i="2"/>
  <c r="E39" i="2"/>
  <c r="E38" i="2"/>
  <c r="E37" i="2"/>
  <c r="E36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E2" i="2"/>
  <c r="E32" i="2" l="1"/>
  <c r="E44" i="2"/>
  <c r="F28" i="34"/>
  <c r="E28" i="34"/>
  <c r="F19" i="34"/>
  <c r="E19" i="34"/>
  <c r="B22" i="1" l="1"/>
  <c r="F19" i="31"/>
  <c r="E19" i="31"/>
  <c r="E31" i="1" l="1"/>
  <c r="E30" i="1"/>
  <c r="E27" i="1"/>
  <c r="E26" i="1"/>
  <c r="E25" i="1"/>
  <c r="E24" i="1"/>
  <c r="E23" i="1"/>
  <c r="E22" i="1"/>
  <c r="E20" i="1"/>
  <c r="F26" i="29"/>
  <c r="E26" i="29"/>
  <c r="E13" i="1" l="1"/>
  <c r="E19" i="30" l="1"/>
  <c r="B18" i="30"/>
  <c r="B17" i="30"/>
  <c r="B16" i="30"/>
  <c r="E12" i="30"/>
  <c r="B11" i="30"/>
  <c r="B10" i="30"/>
  <c r="B9" i="30"/>
  <c r="B8" i="30"/>
  <c r="B7" i="30"/>
  <c r="B6" i="30"/>
  <c r="B5" i="30"/>
  <c r="B4" i="30"/>
  <c r="B3" i="30"/>
  <c r="B2" i="30"/>
  <c r="E15" i="32"/>
  <c r="B14" i="32"/>
  <c r="B13" i="32"/>
  <c r="B12" i="32"/>
  <c r="E8" i="32"/>
  <c r="B7" i="32"/>
  <c r="B6" i="32"/>
  <c r="B5" i="32"/>
  <c r="B4" i="32"/>
  <c r="B3" i="32"/>
  <c r="B2" i="32"/>
  <c r="B28" i="34"/>
  <c r="B27" i="34"/>
  <c r="B26" i="34"/>
  <c r="B25" i="34"/>
  <c r="B24" i="34"/>
  <c r="B23" i="34"/>
  <c r="B19" i="34"/>
  <c r="B18" i="34"/>
  <c r="B17" i="34"/>
  <c r="B16" i="34"/>
  <c r="B15" i="34"/>
  <c r="B14" i="34"/>
  <c r="B13" i="34"/>
  <c r="B12" i="34"/>
  <c r="B11" i="34"/>
  <c r="B10" i="34"/>
  <c r="B9" i="34"/>
  <c r="B8" i="34"/>
  <c r="B7" i="34"/>
  <c r="B6" i="34"/>
  <c r="B5" i="34"/>
  <c r="B4" i="34"/>
  <c r="B3" i="34"/>
  <c r="B2" i="34"/>
  <c r="E17" i="33"/>
  <c r="B16" i="33"/>
  <c r="B15" i="33"/>
  <c r="B14" i="33"/>
  <c r="B13" i="33"/>
  <c r="B12" i="33"/>
  <c r="E8" i="33"/>
  <c r="E12" i="1" s="1"/>
  <c r="B7" i="33"/>
  <c r="B6" i="33"/>
  <c r="B5" i="33"/>
  <c r="B4" i="33"/>
  <c r="B3" i="33"/>
  <c r="B2" i="33"/>
  <c r="B14" i="38"/>
  <c r="B13" i="38"/>
  <c r="B9" i="38"/>
  <c r="B8" i="38"/>
  <c r="B7" i="38"/>
  <c r="B6" i="38"/>
  <c r="B5" i="38"/>
  <c r="B4" i="38"/>
  <c r="B3" i="38"/>
  <c r="B2" i="38"/>
  <c r="E25" i="36"/>
  <c r="B24" i="36"/>
  <c r="B23" i="36"/>
  <c r="B22" i="36"/>
  <c r="E18" i="36"/>
  <c r="B17" i="36"/>
  <c r="B16" i="36"/>
  <c r="B15" i="36"/>
  <c r="B14" i="36"/>
  <c r="B13" i="36"/>
  <c r="B12" i="36"/>
  <c r="B11" i="36"/>
  <c r="B10" i="36"/>
  <c r="B9" i="36"/>
  <c r="B8" i="36"/>
  <c r="B7" i="36"/>
  <c r="B6" i="36"/>
  <c r="B5" i="36"/>
  <c r="B4" i="36"/>
  <c r="B3" i="36"/>
  <c r="B2" i="36"/>
  <c r="B29" i="31"/>
  <c r="B28" i="31"/>
  <c r="B27" i="31"/>
  <c r="B26" i="31"/>
  <c r="B25" i="31"/>
  <c r="B24" i="31"/>
  <c r="E20" i="31"/>
  <c r="E8" i="1" s="1"/>
  <c r="B19" i="31"/>
  <c r="B18" i="31"/>
  <c r="B17" i="31"/>
  <c r="B16" i="31"/>
  <c r="B15" i="31"/>
  <c r="B14" i="31"/>
  <c r="B13" i="31"/>
  <c r="B12" i="31"/>
  <c r="B11" i="31"/>
  <c r="B10" i="31"/>
  <c r="B9" i="31"/>
  <c r="B8" i="31"/>
  <c r="B7" i="31"/>
  <c r="B6" i="31"/>
  <c r="B5" i="31"/>
  <c r="B4" i="31"/>
  <c r="B3" i="31"/>
  <c r="B2" i="31"/>
  <c r="B26" i="29"/>
  <c r="B25" i="29"/>
  <c r="E7" i="1"/>
  <c r="B20" i="29"/>
  <c r="B19" i="29"/>
  <c r="B18" i="29"/>
  <c r="B17" i="29"/>
  <c r="B16" i="29"/>
  <c r="B15" i="29"/>
  <c r="B14" i="29"/>
  <c r="B13" i="29"/>
  <c r="B12" i="29"/>
  <c r="B11" i="29"/>
  <c r="B10" i="29"/>
  <c r="B9" i="29"/>
  <c r="B8" i="29"/>
  <c r="B7" i="29"/>
  <c r="B6" i="29"/>
  <c r="B5" i="29"/>
  <c r="B4" i="29"/>
  <c r="B3" i="29"/>
  <c r="B2" i="29"/>
  <c r="E38" i="35"/>
  <c r="B37" i="35"/>
  <c r="B36" i="35"/>
  <c r="B35" i="35"/>
  <c r="B34" i="35"/>
  <c r="B33" i="35"/>
  <c r="B32" i="35"/>
  <c r="B31" i="35"/>
  <c r="B30" i="35"/>
  <c r="E26" i="35"/>
  <c r="B25" i="35"/>
  <c r="B24" i="35"/>
  <c r="B23" i="35"/>
  <c r="B22" i="35"/>
  <c r="B21" i="35"/>
  <c r="B20" i="35"/>
  <c r="B19" i="35"/>
  <c r="B18" i="35"/>
  <c r="B17" i="35"/>
  <c r="B16" i="35"/>
  <c r="B15" i="35"/>
  <c r="B14" i="35"/>
  <c r="B13" i="35"/>
  <c r="B12" i="35"/>
  <c r="B11" i="35"/>
  <c r="B10" i="35"/>
  <c r="B9" i="35"/>
  <c r="B8" i="35"/>
  <c r="B7" i="35"/>
  <c r="B6" i="35"/>
  <c r="B5" i="35"/>
  <c r="B4" i="35"/>
  <c r="B3" i="35"/>
  <c r="B2" i="35"/>
  <c r="B27" i="28"/>
  <c r="B26" i="28"/>
  <c r="B25" i="28"/>
  <c r="B24" i="28"/>
  <c r="E20" i="28"/>
  <c r="B19" i="28"/>
  <c r="B18" i="28"/>
  <c r="B17" i="28"/>
  <c r="B16" i="28"/>
  <c r="B15" i="28"/>
  <c r="B14" i="28"/>
  <c r="B13" i="28"/>
  <c r="B12" i="28"/>
  <c r="B11" i="28"/>
  <c r="B10" i="28"/>
  <c r="B9" i="28"/>
  <c r="B8" i="28"/>
  <c r="B7" i="28"/>
  <c r="B6" i="28"/>
  <c r="B5" i="28"/>
  <c r="B4" i="28"/>
  <c r="B3" i="28"/>
  <c r="B2" i="28"/>
  <c r="E21" i="27"/>
  <c r="B20" i="27"/>
  <c r="B19" i="27"/>
  <c r="B18" i="27"/>
  <c r="B17" i="27"/>
  <c r="B16" i="27"/>
  <c r="E12" i="27"/>
  <c r="E4" i="1" s="1"/>
  <c r="B11" i="27"/>
  <c r="B10" i="27"/>
  <c r="B9" i="27"/>
  <c r="B8" i="27"/>
  <c r="B7" i="27"/>
  <c r="B6" i="27"/>
  <c r="B5" i="27"/>
  <c r="B4" i="27"/>
  <c r="B3" i="27"/>
  <c r="B2" i="27"/>
  <c r="E20" i="26"/>
  <c r="B19" i="26"/>
  <c r="B18" i="26"/>
  <c r="B17" i="26"/>
  <c r="B16" i="26"/>
  <c r="B15" i="26"/>
  <c r="E10" i="26"/>
  <c r="E3" i="1" s="1"/>
  <c r="B9" i="26"/>
  <c r="B8" i="26"/>
  <c r="B7" i="26"/>
  <c r="B6" i="26"/>
  <c r="B5" i="26"/>
  <c r="B4" i="26"/>
  <c r="B3" i="26"/>
  <c r="B2" i="26"/>
  <c r="E21" i="25"/>
  <c r="B20" i="25"/>
  <c r="B19" i="25"/>
  <c r="B18" i="25"/>
  <c r="B17" i="25"/>
  <c r="B16" i="25"/>
  <c r="B15" i="25"/>
  <c r="B14" i="25"/>
  <c r="B13" i="25"/>
  <c r="B12" i="25"/>
  <c r="B11" i="25"/>
  <c r="B10" i="25"/>
  <c r="B9" i="25"/>
  <c r="B8" i="25"/>
  <c r="B7" i="25"/>
  <c r="B6" i="25"/>
  <c r="B5" i="25"/>
  <c r="B4" i="25"/>
  <c r="B3" i="25"/>
  <c r="B2" i="25"/>
  <c r="B28" i="1"/>
  <c r="B27" i="1"/>
  <c r="B11" i="1"/>
  <c r="B10" i="1"/>
  <c r="E41" i="9"/>
  <c r="B40" i="9"/>
  <c r="B39" i="9"/>
  <c r="B38" i="9"/>
  <c r="B37" i="9"/>
  <c r="B36" i="9"/>
  <c r="B35" i="9"/>
  <c r="B34" i="9"/>
  <c r="B33" i="9"/>
  <c r="B32" i="9"/>
  <c r="B31" i="9"/>
  <c r="E27" i="9"/>
  <c r="B26" i="9"/>
  <c r="B25" i="9"/>
  <c r="B24" i="9"/>
  <c r="B23" i="9"/>
  <c r="B22" i="9"/>
  <c r="B21" i="9"/>
  <c r="B20" i="9"/>
  <c r="B19" i="9"/>
  <c r="B18" i="9"/>
  <c r="B17" i="9"/>
  <c r="B16" i="9"/>
  <c r="B15" i="9"/>
  <c r="B14" i="9"/>
  <c r="B13" i="9"/>
  <c r="B12" i="9"/>
  <c r="B11" i="9"/>
  <c r="B10" i="9"/>
  <c r="B9" i="9"/>
  <c r="B8" i="9"/>
  <c r="B7" i="9"/>
  <c r="B6" i="9"/>
  <c r="B5" i="9"/>
  <c r="B4" i="9"/>
  <c r="B3" i="9"/>
  <c r="B2" i="9"/>
  <c r="E5" i="1" l="1"/>
  <c r="E21" i="1"/>
  <c r="E29" i="1"/>
  <c r="E32" i="1"/>
  <c r="E15" i="1"/>
  <c r="E14" i="1"/>
  <c r="E6" i="1"/>
  <c r="B21" i="25"/>
  <c r="E2" i="1"/>
  <c r="E9" i="1"/>
  <c r="H29" i="31"/>
  <c r="G29" i="31"/>
  <c r="G20" i="31"/>
  <c r="F20" i="31"/>
  <c r="E33" i="1" l="1"/>
  <c r="B20" i="31"/>
  <c r="B2" i="1"/>
  <c r="E16" i="1"/>
  <c r="G20" i="28"/>
  <c r="F20" i="28"/>
  <c r="G15" i="32"/>
  <c r="F15" i="32"/>
  <c r="G8" i="32"/>
  <c r="F8" i="32"/>
  <c r="B20" i="28" l="1"/>
  <c r="B15" i="32"/>
  <c r="B8" i="32"/>
  <c r="F43" i="2"/>
  <c r="F42" i="2"/>
  <c r="F41" i="2"/>
  <c r="F40" i="2"/>
  <c r="F39" i="2"/>
  <c r="F38" i="2"/>
  <c r="F37" i="2"/>
  <c r="F36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3" i="2"/>
  <c r="F2" i="2"/>
  <c r="F31" i="1"/>
  <c r="F27" i="1"/>
  <c r="F25" i="1"/>
  <c r="F24" i="1"/>
  <c r="F22" i="1"/>
  <c r="F14" i="1"/>
  <c r="F8" i="1"/>
  <c r="F5" i="1"/>
  <c r="B5" i="1" l="1"/>
  <c r="B36" i="2"/>
  <c r="B25" i="1"/>
  <c r="B37" i="2"/>
  <c r="B38" i="2"/>
  <c r="B5" i="2"/>
  <c r="B6" i="2"/>
  <c r="B2" i="2"/>
  <c r="B8" i="1"/>
  <c r="B24" i="1"/>
  <c r="B31" i="1"/>
  <c r="B14" i="1"/>
  <c r="B4" i="2"/>
  <c r="B24" i="2"/>
  <c r="B18" i="2"/>
  <c r="B26" i="2"/>
  <c r="B7" i="2"/>
  <c r="B17" i="2"/>
  <c r="B39" i="2"/>
  <c r="B10" i="2"/>
  <c r="B40" i="2"/>
  <c r="B16" i="2"/>
  <c r="B25" i="2"/>
  <c r="B3" i="2"/>
  <c r="B12" i="2"/>
  <c r="B28" i="2"/>
  <c r="B13" i="2"/>
  <c r="B21" i="2"/>
  <c r="B29" i="2"/>
  <c r="B41" i="2"/>
  <c r="B8" i="2"/>
  <c r="B9" i="2"/>
  <c r="B11" i="2"/>
  <c r="B19" i="2"/>
  <c r="B27" i="2"/>
  <c r="B20" i="2"/>
  <c r="B14" i="2"/>
  <c r="B22" i="2"/>
  <c r="B30" i="2"/>
  <c r="B42" i="2"/>
  <c r="B15" i="2"/>
  <c r="B23" i="2"/>
  <c r="B31" i="2"/>
  <c r="B43" i="2"/>
  <c r="F32" i="2"/>
  <c r="F44" i="2"/>
  <c r="B44" i="2" l="1"/>
  <c r="B32" i="2"/>
  <c r="F41" i="9"/>
  <c r="F19" i="30"/>
  <c r="F12" i="30"/>
  <c r="F8" i="33"/>
  <c r="F17" i="33"/>
  <c r="F25" i="36"/>
  <c r="F18" i="36"/>
  <c r="F38" i="35"/>
  <c r="F26" i="35"/>
  <c r="F21" i="27"/>
  <c r="F12" i="27"/>
  <c r="F20" i="26"/>
  <c r="F10" i="26"/>
  <c r="F21" i="25"/>
  <c r="F27" i="9"/>
  <c r="B41" i="9" l="1"/>
  <c r="B21" i="27"/>
  <c r="B12" i="27"/>
  <c r="B27" i="9"/>
  <c r="B17" i="33"/>
  <c r="B8" i="33"/>
  <c r="B19" i="30"/>
  <c r="B12" i="30"/>
  <c r="B21" i="29"/>
  <c r="B38" i="35"/>
  <c r="B26" i="35"/>
  <c r="B20" i="26"/>
  <c r="B10" i="26"/>
  <c r="B25" i="36"/>
  <c r="B18" i="36"/>
  <c r="F9" i="1"/>
  <c r="F2" i="1"/>
  <c r="F32" i="1"/>
  <c r="F20" i="1"/>
  <c r="F26" i="1"/>
  <c r="F29" i="1"/>
  <c r="F12" i="1"/>
  <c r="F21" i="1"/>
  <c r="F6" i="1"/>
  <c r="F23" i="1"/>
  <c r="F30" i="1"/>
  <c r="F15" i="1"/>
  <c r="F7" i="1"/>
  <c r="F13" i="1"/>
  <c r="F4" i="1"/>
  <c r="F3" i="1"/>
  <c r="B21" i="1" l="1"/>
  <c r="B4" i="1"/>
  <c r="B30" i="1"/>
  <c r="B13" i="1"/>
  <c r="B29" i="1"/>
  <c r="B12" i="1"/>
  <c r="B32" i="1"/>
  <c r="B15" i="1"/>
  <c r="B7" i="1"/>
  <c r="B23" i="1"/>
  <c r="B6" i="1"/>
  <c r="B20" i="1"/>
  <c r="B3" i="1"/>
  <c r="B26" i="1"/>
  <c r="B9" i="1"/>
  <c r="F33" i="1"/>
  <c r="F16" i="1"/>
  <c r="B16" i="1" l="1"/>
  <c r="B33" i="1"/>
  <c r="G25" i="36"/>
  <c r="G21" i="27" l="1"/>
  <c r="G12" i="27"/>
  <c r="G43" i="2" l="1"/>
  <c r="G42" i="2"/>
  <c r="G41" i="2"/>
  <c r="G40" i="2"/>
  <c r="G39" i="2"/>
  <c r="G38" i="2"/>
  <c r="G37" i="2"/>
  <c r="G36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  <c r="G27" i="1"/>
  <c r="G26" i="1"/>
  <c r="G24" i="1"/>
  <c r="G22" i="1"/>
  <c r="G21" i="1"/>
  <c r="G4" i="1"/>
  <c r="G19" i="30" l="1"/>
  <c r="G12" i="30"/>
  <c r="G28" i="34"/>
  <c r="G19" i="34"/>
  <c r="G17" i="33"/>
  <c r="G8" i="33"/>
  <c r="G18" i="36"/>
  <c r="G21" i="29"/>
  <c r="G38" i="35"/>
  <c r="G26" i="35"/>
  <c r="G20" i="26"/>
  <c r="G10" i="26"/>
  <c r="G21" i="25"/>
  <c r="G44" i="2"/>
  <c r="G32" i="2"/>
  <c r="G41" i="9"/>
  <c r="G27" i="9"/>
  <c r="G3" i="1" l="1"/>
  <c r="G5" i="1"/>
  <c r="G15" i="1"/>
  <c r="G2" i="1"/>
  <c r="G6" i="1"/>
  <c r="G8" i="1"/>
  <c r="G29" i="1"/>
  <c r="G32" i="1"/>
  <c r="G12" i="1"/>
  <c r="G23" i="1"/>
  <c r="G25" i="1"/>
  <c r="G7" i="1"/>
  <c r="G9" i="1"/>
  <c r="G13" i="1"/>
  <c r="G14" i="1"/>
  <c r="G20" i="1"/>
  <c r="G30" i="1"/>
  <c r="G31" i="1"/>
  <c r="H12" i="30"/>
  <c r="H19" i="30"/>
  <c r="G16" i="1" l="1"/>
  <c r="G33" i="1"/>
  <c r="H18" i="36"/>
  <c r="F44" i="1" l="1"/>
  <c r="G40" i="1"/>
  <c r="H28" i="34"/>
  <c r="H19" i="34"/>
  <c r="H38" i="35" l="1"/>
  <c r="H26" i="35"/>
  <c r="H21" i="27" l="1"/>
  <c r="H12" i="27"/>
  <c r="H15" i="32" l="1"/>
  <c r="H8" i="32"/>
  <c r="H21" i="29"/>
  <c r="H17" i="33"/>
  <c r="H8" i="33"/>
  <c r="H21" i="25"/>
  <c r="H19" i="28"/>
  <c r="H20" i="28"/>
  <c r="H41" i="9" l="1"/>
  <c r="H20" i="26" l="1"/>
  <c r="H10" i="26"/>
  <c r="H15" i="1" l="1"/>
  <c r="H14" i="1"/>
  <c r="H13" i="1"/>
  <c r="H12" i="1"/>
  <c r="H9" i="1"/>
  <c r="H7" i="1"/>
  <c r="H6" i="1"/>
  <c r="H5" i="1"/>
  <c r="H4" i="1"/>
  <c r="H3" i="1"/>
  <c r="H2" i="1"/>
  <c r="H20" i="31"/>
  <c r="H8" i="1" l="1"/>
  <c r="I27" i="9"/>
  <c r="H27" i="9"/>
  <c r="H16" i="1" l="1"/>
  <c r="H43" i="2"/>
  <c r="H42" i="2"/>
  <c r="H41" i="2"/>
  <c r="H40" i="2"/>
  <c r="H39" i="2"/>
  <c r="H38" i="2"/>
  <c r="H37" i="2"/>
  <c r="H36" i="2"/>
  <c r="H44" i="2" l="1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H2" i="2"/>
  <c r="H32" i="1"/>
  <c r="H31" i="1"/>
  <c r="H30" i="1"/>
  <c r="H29" i="1"/>
  <c r="H27" i="1"/>
  <c r="H26" i="1"/>
  <c r="H25" i="1"/>
  <c r="H24" i="1"/>
  <c r="H23" i="1"/>
  <c r="H22" i="1"/>
  <c r="H21" i="1"/>
  <c r="H20" i="1"/>
  <c r="H33" i="1" l="1"/>
  <c r="H32" i="2"/>
  <c r="H40" i="1" l="1"/>
  <c r="J41" i="9"/>
  <c r="I41" i="9"/>
  <c r="J26" i="9"/>
  <c r="J27" i="9" s="1"/>
  <c r="I19" i="30"/>
  <c r="I12" i="30"/>
  <c r="I21" i="27"/>
  <c r="I12" i="27"/>
  <c r="I20" i="28"/>
  <c r="I28" i="34"/>
  <c r="I19" i="34"/>
  <c r="I21" i="25"/>
  <c r="I17" i="33"/>
  <c r="I8" i="33"/>
  <c r="I38" i="35"/>
  <c r="I26" i="35"/>
  <c r="I18" i="36"/>
  <c r="I20" i="31"/>
  <c r="I43" i="2"/>
  <c r="I20" i="26"/>
  <c r="I10" i="26"/>
  <c r="I42" i="2"/>
  <c r="I41" i="2"/>
  <c r="I40" i="2"/>
  <c r="I39" i="2"/>
  <c r="I38" i="2"/>
  <c r="I37" i="2"/>
  <c r="I36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  <c r="I2" i="2"/>
  <c r="I27" i="1"/>
  <c r="I26" i="1"/>
  <c r="I24" i="1"/>
  <c r="I22" i="1"/>
  <c r="I21" i="1"/>
  <c r="I20" i="1"/>
  <c r="I5" i="1"/>
  <c r="I2" i="1"/>
  <c r="I15" i="32"/>
  <c r="I8" i="32"/>
  <c r="I21" i="29"/>
  <c r="J38" i="35"/>
  <c r="J23" i="1" s="1"/>
  <c r="J26" i="35"/>
  <c r="J6" i="1" s="1"/>
  <c r="K26" i="35"/>
  <c r="K6" i="1" s="1"/>
  <c r="J36" i="2"/>
  <c r="K36" i="2"/>
  <c r="J43" i="2"/>
  <c r="J42" i="2"/>
  <c r="J41" i="2"/>
  <c r="J40" i="2"/>
  <c r="J39" i="2"/>
  <c r="J38" i="2"/>
  <c r="J37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J6" i="2"/>
  <c r="J5" i="2"/>
  <c r="J4" i="2"/>
  <c r="J3" i="2"/>
  <c r="J2" i="2"/>
  <c r="J27" i="1"/>
  <c r="J26" i="1"/>
  <c r="J24" i="1"/>
  <c r="J22" i="1"/>
  <c r="J19" i="30"/>
  <c r="J12" i="30"/>
  <c r="J28" i="34"/>
  <c r="J19" i="34"/>
  <c r="J13" i="1" s="1"/>
  <c r="J17" i="33"/>
  <c r="J29" i="1" s="1"/>
  <c r="J8" i="33"/>
  <c r="J12" i="1" s="1"/>
  <c r="J19" i="31"/>
  <c r="J31" i="2" s="1"/>
  <c r="J18" i="36"/>
  <c r="J9" i="1" s="1"/>
  <c r="J15" i="32"/>
  <c r="J8" i="32"/>
  <c r="J21" i="29"/>
  <c r="J7" i="1" s="1"/>
  <c r="J20" i="28"/>
  <c r="J21" i="27"/>
  <c r="J21" i="1" s="1"/>
  <c r="J12" i="27"/>
  <c r="J4" i="1" s="1"/>
  <c r="J20" i="26"/>
  <c r="J20" i="1" s="1"/>
  <c r="J10" i="26"/>
  <c r="J21" i="25"/>
  <c r="K19" i="30"/>
  <c r="K12" i="30"/>
  <c r="K26" i="29"/>
  <c r="K24" i="1" s="1"/>
  <c r="K18" i="36"/>
  <c r="K9" i="1" s="1"/>
  <c r="K25" i="36"/>
  <c r="K26" i="1" s="1"/>
  <c r="K43" i="2"/>
  <c r="K42" i="2"/>
  <c r="K41" i="2"/>
  <c r="K40" i="2"/>
  <c r="K39" i="2"/>
  <c r="K38" i="2"/>
  <c r="K37" i="2"/>
  <c r="L36" i="2"/>
  <c r="M36" i="2"/>
  <c r="N36" i="2"/>
  <c r="O36" i="2"/>
  <c r="P36" i="2"/>
  <c r="Q36" i="2"/>
  <c r="R36" i="2"/>
  <c r="L37" i="2"/>
  <c r="M37" i="2"/>
  <c r="N37" i="2"/>
  <c r="O37" i="2"/>
  <c r="P37" i="2"/>
  <c r="Q37" i="2"/>
  <c r="R37" i="2"/>
  <c r="L38" i="2"/>
  <c r="M38" i="2"/>
  <c r="N38" i="2"/>
  <c r="O38" i="2"/>
  <c r="P38" i="2"/>
  <c r="Q38" i="2"/>
  <c r="R38" i="2"/>
  <c r="L39" i="2"/>
  <c r="M39" i="2"/>
  <c r="N39" i="2"/>
  <c r="O39" i="2"/>
  <c r="P39" i="2"/>
  <c r="Q39" i="2"/>
  <c r="R39" i="2"/>
  <c r="L40" i="2"/>
  <c r="M40" i="2"/>
  <c r="N40" i="2"/>
  <c r="O40" i="2"/>
  <c r="P40" i="2"/>
  <c r="Q40" i="2"/>
  <c r="R40" i="2"/>
  <c r="L41" i="2"/>
  <c r="M41" i="2"/>
  <c r="N41" i="2"/>
  <c r="O41" i="2"/>
  <c r="P41" i="2"/>
  <c r="Q41" i="2"/>
  <c r="R41" i="2"/>
  <c r="L42" i="2"/>
  <c r="M42" i="2"/>
  <c r="N42" i="2"/>
  <c r="O42" i="2"/>
  <c r="P42" i="2"/>
  <c r="Q42" i="2"/>
  <c r="R42" i="2"/>
  <c r="L43" i="2"/>
  <c r="M43" i="2"/>
  <c r="N43" i="2"/>
  <c r="O43" i="2"/>
  <c r="P43" i="2"/>
  <c r="Q43" i="2"/>
  <c r="R43" i="2"/>
  <c r="K30" i="1"/>
  <c r="K27" i="1"/>
  <c r="K13" i="1"/>
  <c r="K19" i="31"/>
  <c r="K31" i="2" s="1"/>
  <c r="K21" i="25"/>
  <c r="K2" i="1" s="1"/>
  <c r="K20" i="26"/>
  <c r="K20" i="1" s="1"/>
  <c r="K10" i="26"/>
  <c r="K3" i="1" s="1"/>
  <c r="K21" i="27"/>
  <c r="K21" i="1"/>
  <c r="K12" i="27"/>
  <c r="K38" i="35"/>
  <c r="K23" i="1" s="1"/>
  <c r="K15" i="32"/>
  <c r="K31" i="1" s="1"/>
  <c r="K8" i="32"/>
  <c r="K14" i="1" s="1"/>
  <c r="K21" i="29"/>
  <c r="K7" i="1" s="1"/>
  <c r="K41" i="9"/>
  <c r="K26" i="9"/>
  <c r="K27" i="9" s="1"/>
  <c r="K15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4" i="2"/>
  <c r="K13" i="2"/>
  <c r="K12" i="2"/>
  <c r="K11" i="2"/>
  <c r="K10" i="2"/>
  <c r="K9" i="2"/>
  <c r="K8" i="2"/>
  <c r="K7" i="2"/>
  <c r="K6" i="2"/>
  <c r="K5" i="2"/>
  <c r="K4" i="2"/>
  <c r="K3" i="2"/>
  <c r="K2" i="2"/>
  <c r="K27" i="28"/>
  <c r="K22" i="1" s="1"/>
  <c r="K20" i="28"/>
  <c r="K5" i="1" s="1"/>
  <c r="K17" i="33"/>
  <c r="K29" i="1" s="1"/>
  <c r="K8" i="33"/>
  <c r="K12" i="1" s="1"/>
  <c r="V31" i="2"/>
  <c r="U31" i="2"/>
  <c r="T31" i="2"/>
  <c r="S31" i="2"/>
  <c r="R31" i="2"/>
  <c r="Q31" i="2"/>
  <c r="P31" i="2"/>
  <c r="O31" i="2"/>
  <c r="N31" i="2"/>
  <c r="V30" i="2"/>
  <c r="T30" i="2"/>
  <c r="S30" i="2"/>
  <c r="R30" i="2"/>
  <c r="Q30" i="2"/>
  <c r="P30" i="2"/>
  <c r="O30" i="2"/>
  <c r="N30" i="2"/>
  <c r="M30" i="2"/>
  <c r="V29" i="2"/>
  <c r="U29" i="2"/>
  <c r="T29" i="2"/>
  <c r="S29" i="2"/>
  <c r="R29" i="2"/>
  <c r="Q29" i="2"/>
  <c r="P29" i="2"/>
  <c r="O29" i="2"/>
  <c r="N29" i="2"/>
  <c r="M29" i="2"/>
  <c r="V28" i="2"/>
  <c r="U28" i="2"/>
  <c r="T28" i="2"/>
  <c r="S28" i="2"/>
  <c r="R28" i="2"/>
  <c r="Q28" i="2"/>
  <c r="P28" i="2"/>
  <c r="O28" i="2"/>
  <c r="N28" i="2"/>
  <c r="M28" i="2"/>
  <c r="V27" i="2"/>
  <c r="U27" i="2"/>
  <c r="T27" i="2"/>
  <c r="S27" i="2"/>
  <c r="R27" i="2"/>
  <c r="Q27" i="2"/>
  <c r="P27" i="2"/>
  <c r="O27" i="2"/>
  <c r="N27" i="2"/>
  <c r="M27" i="2"/>
  <c r="V26" i="2"/>
  <c r="U26" i="2"/>
  <c r="T26" i="2"/>
  <c r="S26" i="2"/>
  <c r="R26" i="2"/>
  <c r="Q26" i="2"/>
  <c r="P26" i="2"/>
  <c r="O26" i="2"/>
  <c r="N26" i="2"/>
  <c r="M26" i="2"/>
  <c r="V25" i="2"/>
  <c r="U25" i="2"/>
  <c r="T25" i="2"/>
  <c r="S25" i="2"/>
  <c r="R25" i="2"/>
  <c r="Q25" i="2"/>
  <c r="P25" i="2"/>
  <c r="O25" i="2"/>
  <c r="N25" i="2"/>
  <c r="M25" i="2"/>
  <c r="V24" i="2"/>
  <c r="U24" i="2"/>
  <c r="T24" i="2"/>
  <c r="S24" i="2"/>
  <c r="R24" i="2"/>
  <c r="Q24" i="2"/>
  <c r="P24" i="2"/>
  <c r="O24" i="2"/>
  <c r="N24" i="2"/>
  <c r="M24" i="2"/>
  <c r="V23" i="2"/>
  <c r="U23" i="2"/>
  <c r="T23" i="2"/>
  <c r="S23" i="2"/>
  <c r="R23" i="2"/>
  <c r="Q23" i="2"/>
  <c r="P23" i="2"/>
  <c r="O23" i="2"/>
  <c r="N23" i="2"/>
  <c r="M23" i="2"/>
  <c r="V22" i="2"/>
  <c r="U22" i="2"/>
  <c r="T22" i="2"/>
  <c r="S22" i="2"/>
  <c r="R22" i="2"/>
  <c r="Q22" i="2"/>
  <c r="P22" i="2"/>
  <c r="O22" i="2"/>
  <c r="N22" i="2"/>
  <c r="M22" i="2"/>
  <c r="V21" i="2"/>
  <c r="U21" i="2"/>
  <c r="T21" i="2"/>
  <c r="S21" i="2"/>
  <c r="R21" i="2"/>
  <c r="Q21" i="2"/>
  <c r="P21" i="2"/>
  <c r="O21" i="2"/>
  <c r="N21" i="2"/>
  <c r="M21" i="2"/>
  <c r="V20" i="2"/>
  <c r="U20" i="2"/>
  <c r="T20" i="2"/>
  <c r="S20" i="2"/>
  <c r="R20" i="2"/>
  <c r="Q20" i="2"/>
  <c r="P20" i="2"/>
  <c r="O20" i="2"/>
  <c r="N20" i="2"/>
  <c r="M20" i="2"/>
  <c r="V19" i="2"/>
  <c r="U19" i="2"/>
  <c r="T19" i="2"/>
  <c r="S19" i="2"/>
  <c r="R19" i="2"/>
  <c r="Q19" i="2"/>
  <c r="P19" i="2"/>
  <c r="O19" i="2"/>
  <c r="N19" i="2"/>
  <c r="M19" i="2"/>
  <c r="V18" i="2"/>
  <c r="U18" i="2"/>
  <c r="T18" i="2"/>
  <c r="S18" i="2"/>
  <c r="R18" i="2"/>
  <c r="Q18" i="2"/>
  <c r="P18" i="2"/>
  <c r="O18" i="2"/>
  <c r="N18" i="2"/>
  <c r="V17" i="2"/>
  <c r="U17" i="2"/>
  <c r="T17" i="2"/>
  <c r="S17" i="2"/>
  <c r="R17" i="2"/>
  <c r="Q17" i="2"/>
  <c r="P17" i="2"/>
  <c r="O17" i="2"/>
  <c r="N17" i="2"/>
  <c r="V16" i="2"/>
  <c r="U16" i="2"/>
  <c r="T16" i="2"/>
  <c r="S16" i="2"/>
  <c r="R16" i="2"/>
  <c r="Q16" i="2"/>
  <c r="P16" i="2"/>
  <c r="O16" i="2"/>
  <c r="N16" i="2"/>
  <c r="M16" i="2"/>
  <c r="V15" i="2"/>
  <c r="U15" i="2"/>
  <c r="T15" i="2"/>
  <c r="S15" i="2"/>
  <c r="R15" i="2"/>
  <c r="Q15" i="2"/>
  <c r="P15" i="2"/>
  <c r="O15" i="2"/>
  <c r="N15" i="2"/>
  <c r="M15" i="2"/>
  <c r="V14" i="2"/>
  <c r="U14" i="2"/>
  <c r="T14" i="2"/>
  <c r="S14" i="2"/>
  <c r="R14" i="2"/>
  <c r="Q14" i="2"/>
  <c r="P14" i="2"/>
  <c r="O14" i="2"/>
  <c r="N14" i="2"/>
  <c r="V13" i="2"/>
  <c r="U13" i="2"/>
  <c r="T13" i="2"/>
  <c r="S13" i="2"/>
  <c r="R13" i="2"/>
  <c r="Q13" i="2"/>
  <c r="P13" i="2"/>
  <c r="O13" i="2"/>
  <c r="N13" i="2"/>
  <c r="M13" i="2"/>
  <c r="V12" i="2"/>
  <c r="U12" i="2"/>
  <c r="T12" i="2"/>
  <c r="S12" i="2"/>
  <c r="R12" i="2"/>
  <c r="Q12" i="2"/>
  <c r="P12" i="2"/>
  <c r="O12" i="2"/>
  <c r="N12" i="2"/>
  <c r="V11" i="2"/>
  <c r="U11" i="2"/>
  <c r="T11" i="2"/>
  <c r="S11" i="2"/>
  <c r="R11" i="2"/>
  <c r="Q11" i="2"/>
  <c r="P11" i="2"/>
  <c r="O11" i="2"/>
  <c r="N11" i="2"/>
  <c r="M11" i="2"/>
  <c r="V10" i="2"/>
  <c r="U10" i="2"/>
  <c r="T10" i="2"/>
  <c r="S10" i="2"/>
  <c r="R10" i="2"/>
  <c r="Q10" i="2"/>
  <c r="P10" i="2"/>
  <c r="O10" i="2"/>
  <c r="N10" i="2"/>
  <c r="M10" i="2"/>
  <c r="V9" i="2"/>
  <c r="U9" i="2"/>
  <c r="T9" i="2"/>
  <c r="S9" i="2"/>
  <c r="R9" i="2"/>
  <c r="Q9" i="2"/>
  <c r="P9" i="2"/>
  <c r="O9" i="2"/>
  <c r="N9" i="2"/>
  <c r="M9" i="2"/>
  <c r="V8" i="2"/>
  <c r="U8" i="2"/>
  <c r="T8" i="2"/>
  <c r="S8" i="2"/>
  <c r="R8" i="2"/>
  <c r="Q8" i="2"/>
  <c r="P8" i="2"/>
  <c r="O8" i="2"/>
  <c r="N8" i="2"/>
  <c r="M8" i="2"/>
  <c r="V7" i="2"/>
  <c r="U7" i="2"/>
  <c r="T7" i="2"/>
  <c r="S7" i="2"/>
  <c r="R7" i="2"/>
  <c r="Q7" i="2"/>
  <c r="P7" i="2"/>
  <c r="O7" i="2"/>
  <c r="N7" i="2"/>
  <c r="M7" i="2"/>
  <c r="V6" i="2"/>
  <c r="U6" i="2"/>
  <c r="T6" i="2"/>
  <c r="S6" i="2"/>
  <c r="R6" i="2"/>
  <c r="Q6" i="2"/>
  <c r="P6" i="2"/>
  <c r="O6" i="2"/>
  <c r="N6" i="2"/>
  <c r="M6" i="2"/>
  <c r="V5" i="2"/>
  <c r="U5" i="2"/>
  <c r="T5" i="2"/>
  <c r="S5" i="2"/>
  <c r="R5" i="2"/>
  <c r="Q5" i="2"/>
  <c r="P5" i="2"/>
  <c r="O5" i="2"/>
  <c r="N5" i="2"/>
  <c r="M5" i="2"/>
  <c r="V4" i="2"/>
  <c r="U4" i="2"/>
  <c r="T4" i="2"/>
  <c r="S4" i="2"/>
  <c r="R4" i="2"/>
  <c r="Q4" i="2"/>
  <c r="P4" i="2"/>
  <c r="O4" i="2"/>
  <c r="N4" i="2"/>
  <c r="M4" i="2"/>
  <c r="V3" i="2"/>
  <c r="U3" i="2"/>
  <c r="T3" i="2"/>
  <c r="S3" i="2"/>
  <c r="R3" i="2"/>
  <c r="Q3" i="2"/>
  <c r="P3" i="2"/>
  <c r="O3" i="2"/>
  <c r="N3" i="2"/>
  <c r="M3" i="2"/>
  <c r="V2" i="2"/>
  <c r="U2" i="2"/>
  <c r="T2" i="2"/>
  <c r="S2" i="2"/>
  <c r="R2" i="2"/>
  <c r="Q2" i="2"/>
  <c r="P2" i="2"/>
  <c r="O2" i="2"/>
  <c r="N2" i="2"/>
  <c r="M2" i="2"/>
  <c r="L2" i="2"/>
  <c r="L3" i="2"/>
  <c r="L5" i="2"/>
  <c r="L6" i="2"/>
  <c r="L7" i="2"/>
  <c r="L8" i="2"/>
  <c r="L9" i="2"/>
  <c r="L10" i="2"/>
  <c r="L11" i="2"/>
  <c r="L13" i="2"/>
  <c r="L15" i="2"/>
  <c r="L16" i="2"/>
  <c r="L17" i="2"/>
  <c r="L19" i="2"/>
  <c r="L20" i="2"/>
  <c r="L21" i="2"/>
  <c r="L22" i="2"/>
  <c r="L23" i="2"/>
  <c r="L24" i="2"/>
  <c r="L25" i="2"/>
  <c r="L26" i="2"/>
  <c r="L27" i="2"/>
  <c r="L28" i="2"/>
  <c r="L29" i="2"/>
  <c r="L18" i="36"/>
  <c r="L9" i="1" s="1"/>
  <c r="L21" i="29"/>
  <c r="L7" i="1" s="1"/>
  <c r="L15" i="32"/>
  <c r="L31" i="1" s="1"/>
  <c r="L8" i="32"/>
  <c r="L14" i="1" s="1"/>
  <c r="L19" i="30"/>
  <c r="L32" i="1" s="1"/>
  <c r="L12" i="30"/>
  <c r="L28" i="34"/>
  <c r="L30" i="1" s="1"/>
  <c r="L18" i="34"/>
  <c r="L17" i="34"/>
  <c r="L11" i="34"/>
  <c r="L18" i="2" s="1"/>
  <c r="L8" i="34"/>
  <c r="L14" i="2" s="1"/>
  <c r="L7" i="34"/>
  <c r="L6" i="34"/>
  <c r="L12" i="2" s="1"/>
  <c r="L3" i="34"/>
  <c r="L4" i="2"/>
  <c r="L17" i="33"/>
  <c r="L29" i="1" s="1"/>
  <c r="L8" i="33"/>
  <c r="L12" i="1" s="1"/>
  <c r="L26" i="9"/>
  <c r="L27" i="9" s="1"/>
  <c r="L41" i="9"/>
  <c r="L20" i="31"/>
  <c r="L8" i="1" s="1"/>
  <c r="L38" i="35"/>
  <c r="L23" i="1" s="1"/>
  <c r="L26" i="35"/>
  <c r="L6" i="1" s="1"/>
  <c r="L27" i="28"/>
  <c r="L22" i="1" s="1"/>
  <c r="L20" i="28"/>
  <c r="L5" i="1" s="1"/>
  <c r="L20" i="26"/>
  <c r="L10" i="26"/>
  <c r="L3" i="1" s="1"/>
  <c r="L21" i="25"/>
  <c r="L2" i="1" s="1"/>
  <c r="L27" i="1"/>
  <c r="L26" i="1"/>
  <c r="L24" i="1"/>
  <c r="L21" i="1"/>
  <c r="L4" i="1"/>
  <c r="M18" i="36"/>
  <c r="M9" i="1" s="1"/>
  <c r="M25" i="36"/>
  <c r="M26" i="1" s="1"/>
  <c r="M12" i="30"/>
  <c r="M15" i="1" s="1"/>
  <c r="M21" i="27"/>
  <c r="M21" i="1"/>
  <c r="M15" i="32"/>
  <c r="M31" i="1" s="1"/>
  <c r="M8" i="32"/>
  <c r="M14" i="1" s="1"/>
  <c r="P15" i="32"/>
  <c r="O15" i="32"/>
  <c r="O31" i="1" s="1"/>
  <c r="N15" i="32"/>
  <c r="N31" i="1" s="1"/>
  <c r="P8" i="32"/>
  <c r="P14" i="1" s="1"/>
  <c r="O8" i="32"/>
  <c r="O14" i="1" s="1"/>
  <c r="N8" i="32"/>
  <c r="N14" i="1" s="1"/>
  <c r="M20" i="26"/>
  <c r="M10" i="26"/>
  <c r="M3" i="1" s="1"/>
  <c r="M18" i="34"/>
  <c r="M19" i="34" s="1"/>
  <c r="M13" i="1" s="1"/>
  <c r="M21" i="29"/>
  <c r="M7" i="1" s="1"/>
  <c r="M27" i="9"/>
  <c r="M8" i="25"/>
  <c r="M12" i="2" s="1"/>
  <c r="M10" i="25"/>
  <c r="M14" i="2" s="1"/>
  <c r="M12" i="25"/>
  <c r="M17" i="2" s="1"/>
  <c r="M13" i="25"/>
  <c r="M18" i="2" s="1"/>
  <c r="M20" i="25"/>
  <c r="M8" i="33"/>
  <c r="M12" i="1" s="1"/>
  <c r="M20" i="31"/>
  <c r="M8" i="1" s="1"/>
  <c r="M26" i="35"/>
  <c r="M6" i="1" s="1"/>
  <c r="M5" i="1"/>
  <c r="M19" i="30"/>
  <c r="M32" i="1" s="1"/>
  <c r="M17" i="33"/>
  <c r="M29" i="1" s="1"/>
  <c r="M38" i="35"/>
  <c r="M23" i="1" s="1"/>
  <c r="M22" i="1"/>
  <c r="M24" i="1"/>
  <c r="M27" i="1"/>
  <c r="M30" i="1"/>
  <c r="N25" i="36"/>
  <c r="N26" i="1" s="1"/>
  <c r="N21" i="25"/>
  <c r="N2" i="1" s="1"/>
  <c r="M4" i="1"/>
  <c r="N20" i="26"/>
  <c r="N20" i="1" s="1"/>
  <c r="O20" i="26"/>
  <c r="O20" i="1" s="1"/>
  <c r="P20" i="26"/>
  <c r="P20" i="1" s="1"/>
  <c r="Q20" i="26"/>
  <c r="Q20" i="1"/>
  <c r="R20" i="26"/>
  <c r="R20" i="1" s="1"/>
  <c r="S20" i="26"/>
  <c r="S20" i="1" s="1"/>
  <c r="T20" i="1"/>
  <c r="N21" i="27"/>
  <c r="N21" i="1" s="1"/>
  <c r="O21" i="27"/>
  <c r="O21" i="1" s="1"/>
  <c r="P21" i="27"/>
  <c r="P21" i="1"/>
  <c r="Q21" i="27"/>
  <c r="Q21" i="1" s="1"/>
  <c r="R21" i="27"/>
  <c r="R21" i="1" s="1"/>
  <c r="S21" i="27"/>
  <c r="S21" i="1" s="1"/>
  <c r="T21" i="27"/>
  <c r="T21" i="1" s="1"/>
  <c r="N27" i="28"/>
  <c r="N22" i="1" s="1"/>
  <c r="O27" i="28"/>
  <c r="O22" i="1" s="1"/>
  <c r="P27" i="28"/>
  <c r="P22" i="1" s="1"/>
  <c r="Q22" i="1"/>
  <c r="R27" i="28"/>
  <c r="R22" i="1" s="1"/>
  <c r="S22" i="1"/>
  <c r="T22" i="1"/>
  <c r="N38" i="35"/>
  <c r="N23" i="1" s="1"/>
  <c r="O38" i="35"/>
  <c r="O23" i="1" s="1"/>
  <c r="P38" i="35"/>
  <c r="P23" i="1" s="1"/>
  <c r="Q38" i="35"/>
  <c r="Q23" i="1" s="1"/>
  <c r="R38" i="35"/>
  <c r="R23" i="1" s="1"/>
  <c r="S38" i="35"/>
  <c r="S23" i="1" s="1"/>
  <c r="T23" i="1"/>
  <c r="U23" i="1"/>
  <c r="U33" i="1" s="1"/>
  <c r="V23" i="1"/>
  <c r="V33" i="1" s="1"/>
  <c r="W23" i="1"/>
  <c r="W33" i="1" s="1"/>
  <c r="X23" i="1"/>
  <c r="X33" i="1" s="1"/>
  <c r="N26" i="29"/>
  <c r="N24" i="1" s="1"/>
  <c r="O26" i="29"/>
  <c r="O24" i="1" s="1"/>
  <c r="P26" i="29"/>
  <c r="P24" i="1" s="1"/>
  <c r="Q26" i="29"/>
  <c r="Q24" i="1" s="1"/>
  <c r="R26" i="29"/>
  <c r="R24" i="1" s="1"/>
  <c r="S26" i="29"/>
  <c r="S24" i="1" s="1"/>
  <c r="T26" i="29"/>
  <c r="T24" i="1"/>
  <c r="O26" i="1"/>
  <c r="P25" i="36"/>
  <c r="P26" i="1" s="1"/>
  <c r="Q25" i="36"/>
  <c r="Q26" i="1" s="1"/>
  <c r="R25" i="36"/>
  <c r="R26" i="1" s="1"/>
  <c r="S25" i="36"/>
  <c r="S26" i="1" s="1"/>
  <c r="T25" i="36"/>
  <c r="T26" i="1" s="1"/>
  <c r="N27" i="1"/>
  <c r="O27" i="1"/>
  <c r="P27" i="1"/>
  <c r="Q27" i="1"/>
  <c r="R27" i="1"/>
  <c r="S27" i="1"/>
  <c r="T14" i="38"/>
  <c r="T27" i="1" s="1"/>
  <c r="N17" i="33"/>
  <c r="N29" i="1" s="1"/>
  <c r="O17" i="33"/>
  <c r="O29" i="1" s="1"/>
  <c r="P17" i="33"/>
  <c r="P29" i="1" s="1"/>
  <c r="Q17" i="33"/>
  <c r="Q29" i="1" s="1"/>
  <c r="R17" i="33"/>
  <c r="R29" i="1" s="1"/>
  <c r="S17" i="33"/>
  <c r="S29" i="1" s="1"/>
  <c r="T17" i="33"/>
  <c r="T29" i="1" s="1"/>
  <c r="N28" i="34"/>
  <c r="N30" i="1"/>
  <c r="O28" i="34"/>
  <c r="O30" i="1" s="1"/>
  <c r="P28" i="34"/>
  <c r="P30" i="1" s="1"/>
  <c r="Q28" i="34"/>
  <c r="Q30" i="1" s="1"/>
  <c r="R28" i="34"/>
  <c r="R30" i="1" s="1"/>
  <c r="S28" i="34"/>
  <c r="S30" i="1" s="1"/>
  <c r="T28" i="34"/>
  <c r="T30" i="1" s="1"/>
  <c r="P31" i="1"/>
  <c r="Q15" i="32"/>
  <c r="Q31" i="1" s="1"/>
  <c r="R15" i="32"/>
  <c r="R31" i="1" s="1"/>
  <c r="S15" i="32"/>
  <c r="S31" i="1" s="1"/>
  <c r="T15" i="32"/>
  <c r="T31" i="1" s="1"/>
  <c r="N19" i="30"/>
  <c r="N32" i="1" s="1"/>
  <c r="O19" i="30"/>
  <c r="O32" i="1" s="1"/>
  <c r="P32" i="1"/>
  <c r="Q19" i="30"/>
  <c r="Q32" i="1" s="1"/>
  <c r="R19" i="30"/>
  <c r="R32" i="1" s="1"/>
  <c r="S19" i="30"/>
  <c r="S32" i="1" s="1"/>
  <c r="T19" i="30"/>
  <c r="T32" i="1" s="1"/>
  <c r="M41" i="9"/>
  <c r="N8" i="33"/>
  <c r="N12" i="1" s="1"/>
  <c r="N20" i="31"/>
  <c r="N8" i="1" s="1"/>
  <c r="N21" i="29"/>
  <c r="N7" i="1"/>
  <c r="N20" i="28"/>
  <c r="N5" i="1" s="1"/>
  <c r="N12" i="30"/>
  <c r="N15" i="1" s="1"/>
  <c r="N19" i="34"/>
  <c r="N13" i="1" s="1"/>
  <c r="N10" i="26"/>
  <c r="N3" i="1" s="1"/>
  <c r="N26" i="35"/>
  <c r="N6" i="1" s="1"/>
  <c r="N27" i="9"/>
  <c r="N12" i="27"/>
  <c r="N4" i="1" s="1"/>
  <c r="N41" i="9"/>
  <c r="N9" i="1"/>
  <c r="X8" i="32"/>
  <c r="W8" i="32"/>
  <c r="V8" i="32"/>
  <c r="U8" i="32"/>
  <c r="U14" i="1" s="1"/>
  <c r="T8" i="32"/>
  <c r="T14" i="1" s="1"/>
  <c r="S8" i="32"/>
  <c r="S14" i="1"/>
  <c r="R8" i="32"/>
  <c r="R14" i="1" s="1"/>
  <c r="Q8" i="32"/>
  <c r="Q14" i="1" s="1"/>
  <c r="O26" i="35"/>
  <c r="O6" i="1" s="1"/>
  <c r="O8" i="33"/>
  <c r="O12" i="1" s="1"/>
  <c r="P27" i="9"/>
  <c r="O27" i="9"/>
  <c r="O20" i="31"/>
  <c r="O8" i="1" s="1"/>
  <c r="O12" i="27"/>
  <c r="O4" i="1"/>
  <c r="O21" i="29"/>
  <c r="O7" i="1" s="1"/>
  <c r="O19" i="34"/>
  <c r="O13" i="1" s="1"/>
  <c r="O10" i="26"/>
  <c r="O3" i="1" s="1"/>
  <c r="O20" i="28"/>
  <c r="O5" i="1" s="1"/>
  <c r="O41" i="9"/>
  <c r="O9" i="1"/>
  <c r="O12" i="30"/>
  <c r="O15" i="1" s="1"/>
  <c r="O21" i="25"/>
  <c r="O2" i="1" s="1"/>
  <c r="P21" i="25"/>
  <c r="P2" i="1" s="1"/>
  <c r="P10" i="26"/>
  <c r="P3" i="1" s="1"/>
  <c r="P12" i="27"/>
  <c r="P4" i="1" s="1"/>
  <c r="P20" i="28"/>
  <c r="P5" i="1" s="1"/>
  <c r="P26" i="35"/>
  <c r="P6" i="1" s="1"/>
  <c r="P21" i="29"/>
  <c r="P7" i="1" s="1"/>
  <c r="P20" i="31"/>
  <c r="P8" i="1"/>
  <c r="P18" i="36"/>
  <c r="P9" i="1" s="1"/>
  <c r="P8" i="33"/>
  <c r="P12" i="1" s="1"/>
  <c r="P19" i="34"/>
  <c r="P13" i="1"/>
  <c r="P15" i="1"/>
  <c r="X19" i="30"/>
  <c r="W19" i="30"/>
  <c r="X12" i="30"/>
  <c r="W12" i="30"/>
  <c r="P41" i="9"/>
  <c r="Q20" i="31"/>
  <c r="Q8" i="1" s="1"/>
  <c r="Q41" i="9"/>
  <c r="T41" i="9"/>
  <c r="U41" i="9"/>
  <c r="V41" i="9"/>
  <c r="W41" i="9"/>
  <c r="X41" i="9"/>
  <c r="S41" i="9"/>
  <c r="R41" i="9"/>
  <c r="Q27" i="9"/>
  <c r="R27" i="9"/>
  <c r="Q21" i="25"/>
  <c r="Q2" i="1" s="1"/>
  <c r="Q10" i="26"/>
  <c r="Q3" i="1" s="1"/>
  <c r="Q12" i="27"/>
  <c r="Q4" i="1" s="1"/>
  <c r="Q20" i="28"/>
  <c r="Q5" i="1" s="1"/>
  <c r="Q26" i="35"/>
  <c r="Q6" i="1" s="1"/>
  <c r="Q21" i="29"/>
  <c r="Q7" i="1" s="1"/>
  <c r="Q18" i="36"/>
  <c r="Q9" i="1" s="1"/>
  <c r="Q8" i="33"/>
  <c r="Q12" i="1"/>
  <c r="Q19" i="34"/>
  <c r="Q13" i="1" s="1"/>
  <c r="Q12" i="30"/>
  <c r="Q15" i="1" s="1"/>
  <c r="R8" i="33"/>
  <c r="R12" i="1" s="1"/>
  <c r="R18" i="36"/>
  <c r="R9" i="1" s="1"/>
  <c r="R26" i="35"/>
  <c r="R6" i="1" s="1"/>
  <c r="R19" i="34"/>
  <c r="R13" i="1" s="1"/>
  <c r="R12" i="30"/>
  <c r="R15" i="1" s="1"/>
  <c r="R20" i="31"/>
  <c r="R8" i="1" s="1"/>
  <c r="R21" i="29"/>
  <c r="R7" i="1" s="1"/>
  <c r="R20" i="28"/>
  <c r="R5" i="1" s="1"/>
  <c r="R12" i="27"/>
  <c r="R4" i="1" s="1"/>
  <c r="R10" i="26"/>
  <c r="R3" i="1"/>
  <c r="R21" i="25"/>
  <c r="R2" i="1" s="1"/>
  <c r="S21" i="29"/>
  <c r="S7" i="1"/>
  <c r="S21" i="25"/>
  <c r="S2" i="1"/>
  <c r="S10" i="26"/>
  <c r="S3" i="1" s="1"/>
  <c r="S12" i="27"/>
  <c r="S4" i="1" s="1"/>
  <c r="S20" i="28"/>
  <c r="S5" i="1" s="1"/>
  <c r="S26" i="35"/>
  <c r="S6" i="1" s="1"/>
  <c r="S20" i="31"/>
  <c r="S8" i="1" s="1"/>
  <c r="S18" i="36"/>
  <c r="S9" i="1" s="1"/>
  <c r="S8" i="33"/>
  <c r="S12" i="1" s="1"/>
  <c r="S19" i="34"/>
  <c r="S13" i="1" s="1"/>
  <c r="S12" i="30"/>
  <c r="S15" i="1" s="1"/>
  <c r="S43" i="2"/>
  <c r="S42" i="2"/>
  <c r="S41" i="2"/>
  <c r="S40" i="2"/>
  <c r="S39" i="2"/>
  <c r="S38" i="2"/>
  <c r="S37" i="2"/>
  <c r="S36" i="2"/>
  <c r="S27" i="9"/>
  <c r="T20" i="28"/>
  <c r="T5" i="1"/>
  <c r="T20" i="31"/>
  <c r="T8" i="1" s="1"/>
  <c r="V40" i="2"/>
  <c r="T43" i="2"/>
  <c r="T42" i="2"/>
  <c r="T41" i="2"/>
  <c r="T40" i="2"/>
  <c r="T39" i="2"/>
  <c r="T38" i="2"/>
  <c r="T37" i="2"/>
  <c r="T36" i="2"/>
  <c r="T27" i="9"/>
  <c r="T12" i="30"/>
  <c r="T15" i="1" s="1"/>
  <c r="T8" i="33"/>
  <c r="T12" i="1" s="1"/>
  <c r="T26" i="35"/>
  <c r="T6" i="1" s="1"/>
  <c r="T19" i="34"/>
  <c r="T13" i="1" s="1"/>
  <c r="T21" i="29"/>
  <c r="T7" i="1"/>
  <c r="T12" i="27"/>
  <c r="T4" i="1" s="1"/>
  <c r="T21" i="25"/>
  <c r="T2" i="1" s="1"/>
  <c r="T10" i="26"/>
  <c r="T3" i="1" s="1"/>
  <c r="T18" i="36"/>
  <c r="T9" i="1" s="1"/>
  <c r="U17" i="34"/>
  <c r="U19" i="34" s="1"/>
  <c r="U13" i="1" s="1"/>
  <c r="U30" i="2"/>
  <c r="X20" i="31"/>
  <c r="U8" i="33"/>
  <c r="U12" i="1"/>
  <c r="V12" i="30"/>
  <c r="U27" i="9"/>
  <c r="U36" i="2"/>
  <c r="U37" i="2"/>
  <c r="U38" i="2"/>
  <c r="U39" i="2"/>
  <c r="U40" i="2"/>
  <c r="U41" i="2"/>
  <c r="U43" i="2"/>
  <c r="U26" i="35"/>
  <c r="U6" i="1" s="1"/>
  <c r="U10" i="26"/>
  <c r="U3" i="1"/>
  <c r="U20" i="26"/>
  <c r="U17" i="33"/>
  <c r="U28" i="34"/>
  <c r="U21" i="25"/>
  <c r="U2" i="1" s="1"/>
  <c r="U12" i="27"/>
  <c r="U4" i="1"/>
  <c r="U20" i="28"/>
  <c r="U5" i="1"/>
  <c r="U21" i="29"/>
  <c r="U7" i="1" s="1"/>
  <c r="U20" i="31"/>
  <c r="U8" i="1" s="1"/>
  <c r="U18" i="36"/>
  <c r="U9" i="1" s="1"/>
  <c r="U12" i="30"/>
  <c r="U15" i="1" s="1"/>
  <c r="U19" i="30"/>
  <c r="U26" i="29"/>
  <c r="X21" i="27"/>
  <c r="W21" i="27"/>
  <c r="V21" i="27"/>
  <c r="U21" i="27"/>
  <c r="U25" i="36"/>
  <c r="U15" i="32"/>
  <c r="V41" i="2"/>
  <c r="V38" i="2"/>
  <c r="V37" i="2"/>
  <c r="V36" i="2"/>
  <c r="V24" i="28"/>
  <c r="V26" i="28"/>
  <c r="V43" i="2" s="1"/>
  <c r="X25" i="36"/>
  <c r="W25" i="36"/>
  <c r="V25" i="36"/>
  <c r="X18" i="36"/>
  <c r="W18" i="36"/>
  <c r="V18" i="36"/>
  <c r="X28" i="34"/>
  <c r="W28" i="34"/>
  <c r="V28" i="34"/>
  <c r="X19" i="34"/>
  <c r="W19" i="34"/>
  <c r="V19" i="34"/>
  <c r="X17" i="33"/>
  <c r="W17" i="33"/>
  <c r="V17" i="33"/>
  <c r="X8" i="33"/>
  <c r="W8" i="33"/>
  <c r="V8" i="33"/>
  <c r="X15" i="32"/>
  <c r="W15" i="32"/>
  <c r="V15" i="32"/>
  <c r="W20" i="31"/>
  <c r="V20" i="31"/>
  <c r="X20" i="26"/>
  <c r="W20" i="26"/>
  <c r="V20" i="26"/>
  <c r="X21" i="29"/>
  <c r="W21" i="29"/>
  <c r="V19" i="30"/>
  <c r="X26" i="29"/>
  <c r="W26" i="29"/>
  <c r="V26" i="29"/>
  <c r="X26" i="28"/>
  <c r="X24" i="28"/>
  <c r="X27" i="28" s="1"/>
  <c r="W24" i="28"/>
  <c r="W27" i="28" s="1"/>
  <c r="X20" i="28"/>
  <c r="W20" i="28"/>
  <c r="X12" i="27"/>
  <c r="W12" i="27"/>
  <c r="V12" i="27"/>
  <c r="X10" i="26"/>
  <c r="W10" i="26"/>
  <c r="V10" i="26"/>
  <c r="X21" i="25"/>
  <c r="W21" i="25"/>
  <c r="V21" i="25"/>
  <c r="V16" i="1"/>
  <c r="W16" i="1"/>
  <c r="V27" i="9"/>
  <c r="W27" i="9"/>
  <c r="X27" i="9"/>
  <c r="X16" i="1"/>
  <c r="V21" i="29"/>
  <c r="V20" i="28"/>
  <c r="M20" i="1"/>
  <c r="L15" i="1"/>
  <c r="L30" i="2"/>
  <c r="K4" i="1"/>
  <c r="L20" i="1"/>
  <c r="K32" i="1"/>
  <c r="K15" i="1"/>
  <c r="J14" i="1"/>
  <c r="J31" i="1"/>
  <c r="J30" i="1"/>
  <c r="K20" i="31"/>
  <c r="J5" i="1"/>
  <c r="J3" i="1"/>
  <c r="J2" i="1"/>
  <c r="K8" i="1"/>
  <c r="M31" i="2" l="1"/>
  <c r="L31" i="2"/>
  <c r="J15" i="1"/>
  <c r="L19" i="34"/>
  <c r="L13" i="1" s="1"/>
  <c r="V27" i="28"/>
  <c r="I9" i="1"/>
  <c r="I30" i="1"/>
  <c r="I31" i="1"/>
  <c r="I32" i="1"/>
  <c r="I15" i="1"/>
  <c r="I23" i="1"/>
  <c r="I6" i="1"/>
  <c r="I4" i="1"/>
  <c r="I29" i="1"/>
  <c r="I12" i="1"/>
  <c r="I8" i="1"/>
  <c r="J32" i="1"/>
  <c r="I14" i="1"/>
  <c r="I13" i="1"/>
  <c r="L33" i="1"/>
  <c r="T33" i="1"/>
  <c r="J20" i="31"/>
  <c r="I7" i="1"/>
  <c r="Q44" i="2"/>
  <c r="M33" i="1"/>
  <c r="K16" i="1"/>
  <c r="R16" i="1"/>
  <c r="V39" i="2"/>
  <c r="V44" i="2" s="1"/>
  <c r="L16" i="1"/>
  <c r="N33" i="1"/>
  <c r="Q33" i="1"/>
  <c r="R33" i="1"/>
  <c r="S44" i="2"/>
  <c r="U44" i="2"/>
  <c r="T44" i="2"/>
  <c r="P33" i="1"/>
  <c r="K33" i="1"/>
  <c r="T32" i="2"/>
  <c r="M44" i="2"/>
  <c r="L44" i="2"/>
  <c r="R44" i="2"/>
  <c r="K44" i="2"/>
  <c r="I3" i="1"/>
  <c r="O32" i="2"/>
  <c r="N44" i="2"/>
  <c r="O33" i="1"/>
  <c r="O16" i="1"/>
  <c r="S33" i="1"/>
  <c r="O44" i="2"/>
  <c r="J44" i="2"/>
  <c r="Q16" i="1"/>
  <c r="N16" i="1"/>
  <c r="P44" i="2"/>
  <c r="S16" i="1"/>
  <c r="U32" i="2"/>
  <c r="P16" i="1"/>
  <c r="T16" i="1"/>
  <c r="V32" i="2"/>
  <c r="R32" i="2"/>
  <c r="M21" i="25"/>
  <c r="M2" i="1" s="1"/>
  <c r="M16" i="1" s="1"/>
  <c r="L32" i="2"/>
  <c r="P32" i="2"/>
  <c r="N32" i="2"/>
  <c r="Q32" i="2"/>
  <c r="M32" i="2"/>
  <c r="S32" i="2"/>
  <c r="K32" i="2"/>
  <c r="I32" i="2"/>
  <c r="U16" i="1"/>
  <c r="I44" i="2"/>
  <c r="J32" i="2"/>
  <c r="I33" i="1" l="1"/>
  <c r="J33" i="1"/>
  <c r="J8" i="1"/>
  <c r="I16" i="1"/>
  <c r="J16" i="1" l="1"/>
</calcChain>
</file>

<file path=xl/sharedStrings.xml><?xml version="1.0" encoding="utf-8"?>
<sst xmlns="http://schemas.openxmlformats.org/spreadsheetml/2006/main" count="534" uniqueCount="187">
  <si>
    <t>Belgium</t>
  </si>
  <si>
    <t>The Netherlands</t>
  </si>
  <si>
    <t>Elstar</t>
  </si>
  <si>
    <t>Golden Delicious</t>
  </si>
  <si>
    <t>Boskoop</t>
  </si>
  <si>
    <t>Cox Orange</t>
  </si>
  <si>
    <t>Other</t>
  </si>
  <si>
    <t>Conference</t>
  </si>
  <si>
    <t>Austria (Steiermark)</t>
  </si>
  <si>
    <t>Gala</t>
  </si>
  <si>
    <t>Idared</t>
  </si>
  <si>
    <t>Braeburn</t>
  </si>
  <si>
    <t>Fuji</t>
  </si>
  <si>
    <t>Pinova</t>
  </si>
  <si>
    <t>Gloster</t>
  </si>
  <si>
    <t>Holsteiner Cox</t>
  </si>
  <si>
    <t>Italy</t>
  </si>
  <si>
    <t>Granny Smith</t>
  </si>
  <si>
    <t>Morgendurf/imperat</t>
  </si>
  <si>
    <t>Red Delicious</t>
  </si>
  <si>
    <t>Annurca</t>
  </si>
  <si>
    <t>Stayman</t>
  </si>
  <si>
    <t>TOTAL</t>
  </si>
  <si>
    <t>Apple Stocks (Ton)</t>
  </si>
  <si>
    <t>Pear Stocks (Ton)</t>
  </si>
  <si>
    <t>Jonagored</t>
  </si>
  <si>
    <t>Jonagold</t>
  </si>
  <si>
    <t>Germany</t>
  </si>
  <si>
    <t>Cameo</t>
  </si>
  <si>
    <t>Kaiser</t>
  </si>
  <si>
    <t>Czech Republic</t>
  </si>
  <si>
    <t>Poland</t>
  </si>
  <si>
    <t>Cortland</t>
  </si>
  <si>
    <t>Lobo</t>
  </si>
  <si>
    <t>Spartan</t>
  </si>
  <si>
    <t>Bramley</t>
  </si>
  <si>
    <t>Spain (Catalonia)</t>
  </si>
  <si>
    <t>Alexandrina</t>
  </si>
  <si>
    <t>Blanquilla</t>
  </si>
  <si>
    <t>Denmark</t>
  </si>
  <si>
    <t>Anjou</t>
  </si>
  <si>
    <t>Bosc</t>
  </si>
  <si>
    <t>Red Anjou</t>
  </si>
  <si>
    <t>Comice</t>
  </si>
  <si>
    <t>Seckel</t>
  </si>
  <si>
    <t>Other Reds</t>
  </si>
  <si>
    <t>Northwest Bartletts (Williams)</t>
  </si>
  <si>
    <t>Other Winter Varities</t>
  </si>
  <si>
    <t>Empire</t>
  </si>
  <si>
    <t>Jonathan</t>
  </si>
  <si>
    <t>McIntosh</t>
  </si>
  <si>
    <t>Mutsu/Crispin</t>
  </si>
  <si>
    <t>Newtown Pippin</t>
  </si>
  <si>
    <t>Northern Spy</t>
  </si>
  <si>
    <t>Rome</t>
  </si>
  <si>
    <t>Rome Sport</t>
  </si>
  <si>
    <t>Winesap</t>
  </si>
  <si>
    <t>York</t>
  </si>
  <si>
    <t>Others</t>
  </si>
  <si>
    <t>Switzerland</t>
  </si>
  <si>
    <t>Cripps Pink</t>
  </si>
  <si>
    <t>Content:</t>
  </si>
  <si>
    <t>US situation</t>
  </si>
  <si>
    <t>European situation per country</t>
  </si>
  <si>
    <t xml:space="preserve">Sources: </t>
  </si>
  <si>
    <t>US:</t>
  </si>
  <si>
    <t>Washington Apple Commission, Pear Bureau Northwest</t>
  </si>
  <si>
    <t>Austria:</t>
  </si>
  <si>
    <t>Landeskammer für Land- und Forstwirtschaft Steiermark</t>
  </si>
  <si>
    <t>Belgium:</t>
  </si>
  <si>
    <t>VBT</t>
  </si>
  <si>
    <t>Czech Republic:</t>
  </si>
  <si>
    <t>SAPA</t>
  </si>
  <si>
    <t>France:</t>
  </si>
  <si>
    <t>Germany:</t>
  </si>
  <si>
    <t>Italy:</t>
  </si>
  <si>
    <t>ASSOMELA, CSO</t>
  </si>
  <si>
    <t>Poland:</t>
  </si>
  <si>
    <t>Switzerland:</t>
  </si>
  <si>
    <t>Spain:</t>
  </si>
  <si>
    <t>The Netherlands:</t>
  </si>
  <si>
    <t>United Kingdom:</t>
  </si>
  <si>
    <t>Productschap Tuinbouw</t>
  </si>
  <si>
    <t>SWISSCOFEL</t>
  </si>
  <si>
    <t>SOCIETY FOR PROMOTION OF DWARF FRUIT ORCHARDS</t>
  </si>
  <si>
    <t>Central Institute for Supervising and Testing in Agriculture, Division of perennial plants</t>
  </si>
  <si>
    <t>Other new varieties³</t>
  </si>
  <si>
    <t>Reinette Grise du Canada</t>
  </si>
  <si>
    <t>Shampion</t>
  </si>
  <si>
    <t>European situation per variety</t>
  </si>
  <si>
    <t>Variety (Ton)</t>
  </si>
  <si>
    <t>Total</t>
  </si>
  <si>
    <t>Doyenne du comice</t>
  </si>
  <si>
    <t>Arlet</t>
  </si>
  <si>
    <t>Kronprinz Rudolf</t>
  </si>
  <si>
    <t>Topaz</t>
  </si>
  <si>
    <t>Bellida</t>
  </si>
  <si>
    <t>Pigoen</t>
  </si>
  <si>
    <t>Ingrid Marie</t>
  </si>
  <si>
    <t>Doyenne</t>
  </si>
  <si>
    <t>Gloster*</t>
  </si>
  <si>
    <t>* From 2007 Gloster is included in others</t>
  </si>
  <si>
    <t>Abate Fetel</t>
  </si>
  <si>
    <t>Decana del C.</t>
  </si>
  <si>
    <t>Morgenduft</t>
  </si>
  <si>
    <t>Renette</t>
  </si>
  <si>
    <t>Jonagold (incl. Jonagored)</t>
  </si>
  <si>
    <t>Fuji Group</t>
  </si>
  <si>
    <t>Gala Group</t>
  </si>
  <si>
    <t>Golden Group</t>
  </si>
  <si>
    <t>Llimonera</t>
  </si>
  <si>
    <t>Glockenapfel</t>
  </si>
  <si>
    <t>Kanada Reinette</t>
  </si>
  <si>
    <t>Maigold</t>
  </si>
  <si>
    <t>Rubinette</t>
  </si>
  <si>
    <t>Boscs Flaschenbirne</t>
  </si>
  <si>
    <t>Gute Luise</t>
  </si>
  <si>
    <t>European countries by variety</t>
  </si>
  <si>
    <t>Reine de renettes</t>
  </si>
  <si>
    <t>Ariane</t>
  </si>
  <si>
    <t>Pear Stocks  (Ton)</t>
  </si>
  <si>
    <t>Reinette</t>
  </si>
  <si>
    <t>Other new varieties*</t>
  </si>
  <si>
    <t>Tentation</t>
  </si>
  <si>
    <t>Belchard/Chantecler</t>
  </si>
  <si>
    <t>Rouges</t>
  </si>
  <si>
    <t>Jazz</t>
  </si>
  <si>
    <t>Honey Crunch</t>
  </si>
  <si>
    <t>Sundowner</t>
  </si>
  <si>
    <t>AMI</t>
  </si>
  <si>
    <t>ANPP</t>
  </si>
  <si>
    <t>France</t>
  </si>
  <si>
    <t>Red Jonaprince</t>
  </si>
  <si>
    <t>Other new varieties</t>
  </si>
  <si>
    <t>Denmark:</t>
  </si>
  <si>
    <t>Goldrush</t>
  </si>
  <si>
    <t>Angelys</t>
  </si>
  <si>
    <t>Beurré Hardy</t>
  </si>
  <si>
    <t>Guyot</t>
  </si>
  <si>
    <t>Passe Crassane</t>
  </si>
  <si>
    <t>Williams</t>
  </si>
  <si>
    <t>Club varieties</t>
  </si>
  <si>
    <t>APRIL</t>
  </si>
  <si>
    <t>Portugal:</t>
  </si>
  <si>
    <t>ANP - Associação Nacional de Produtores de Pera Rocha</t>
  </si>
  <si>
    <t>Portugal</t>
  </si>
  <si>
    <t>Rocha</t>
  </si>
  <si>
    <t xml:space="preserve">* Other new varieties: Ariane, Belgica, Cameo, Diwa, Greenstar, Goldrush, Honey Crunch, Jazz, Junami, Kanzi, Mairac, Rubens, Tentation (temptation), Wellant, ... </t>
  </si>
  <si>
    <t>Golden Delicius</t>
  </si>
  <si>
    <t>Choupette</t>
  </si>
  <si>
    <t>Concorde</t>
  </si>
  <si>
    <t>Evelina</t>
  </si>
  <si>
    <t>Bohemica</t>
  </si>
  <si>
    <t>Lucasova</t>
  </si>
  <si>
    <t>Doyenne du Comice</t>
  </si>
  <si>
    <t>Ligol</t>
  </si>
  <si>
    <t>AFRUCAT</t>
  </si>
  <si>
    <t>** From 12/2014 Cox's is included in others</t>
  </si>
  <si>
    <t>Cox**</t>
  </si>
  <si>
    <t>Durondeau</t>
  </si>
  <si>
    <t>** As of the 2016/ 2017 season, the UK works with a different methodology, which is why the figures are not comparable.</t>
  </si>
  <si>
    <t>Forelle</t>
  </si>
  <si>
    <t>United Kingdom**</t>
  </si>
  <si>
    <t>British Apples &amp; Pears</t>
  </si>
  <si>
    <t>Cosmic Crisp</t>
  </si>
  <si>
    <t>Slovakia</t>
  </si>
  <si>
    <t>* Portugal: Rocha stocks are compared per two months, in this case to stocks of 1 January</t>
  </si>
  <si>
    <t>*** Starting from the 2022-2023 season, Italian pears work with a different methodology, which is why the figures are not comparable with previous years.</t>
  </si>
  <si>
    <t>United Kingdom</t>
  </si>
  <si>
    <t>%YOY</t>
  </si>
  <si>
    <t>Moved 2025</t>
  </si>
  <si>
    <t>Honey crisp</t>
  </si>
  <si>
    <t>Rubinett</t>
  </si>
  <si>
    <t>Beurre Alexander Lucas**</t>
  </si>
  <si>
    <t>Please note that this is just an indication. There might be a difference of  +- 10%</t>
  </si>
  <si>
    <t>A significant part of apples are sold to the industry</t>
  </si>
  <si>
    <t>* Rocha stocks are compared per two months, in this case to stocks of 1 January</t>
  </si>
  <si>
    <t>* As of 2017, the UK works with a different methodology, which is why the figures are not comparable.</t>
  </si>
  <si>
    <t>Moved 2026</t>
  </si>
  <si>
    <t>Overview Northern Hemisphere apple and pear stocks 2025-2026</t>
  </si>
  <si>
    <t>Jan</t>
  </si>
  <si>
    <t>Feb</t>
  </si>
  <si>
    <t>Mar</t>
  </si>
  <si>
    <t>Apr</t>
  </si>
  <si>
    <t>2024-2025</t>
  </si>
  <si>
    <t>2025-2026</t>
  </si>
  <si>
    <t>Apple stocks (Ton)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</si>
</sst>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u/>
      <sz val="14"/>
      <name val="Arial"/>
      <family val="2"/>
    </font>
    <font>
      <i/>
      <sz val="14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rgb="FFFF0000"/>
      <name val="Arial"/>
      <family val="2"/>
    </font>
    <font>
      <sz val="1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7CE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0" fontId="11" fillId="4" borderId="0" applyNumberFormat="0" applyBorder="0" applyAlignment="0" applyProtection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10" fillId="0" borderId="0"/>
  </cellStyleXfs>
  <cellXfs count="169">
    <xf numFmtId="0" fontId="0" fillId="0" borderId="0" xfId="0"/>
    <xf numFmtId="3" fontId="0" fillId="0" borderId="0" xfId="0" applyNumberFormat="1"/>
    <xf numFmtId="3" fontId="1" fillId="0" borderId="0" xfId="0" applyNumberFormat="1" applyFont="1"/>
    <xf numFmtId="0" fontId="3" fillId="0" borderId="0" xfId="0" applyFont="1"/>
    <xf numFmtId="0" fontId="0" fillId="0" borderId="1" xfId="0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/>
    <xf numFmtId="14" fontId="1" fillId="0" borderId="0" xfId="0" applyNumberFormat="1" applyFont="1"/>
    <xf numFmtId="3" fontId="0" fillId="0" borderId="1" xfId="0" applyNumberFormat="1" applyBorder="1"/>
    <xf numFmtId="3" fontId="0" fillId="0" borderId="0" xfId="0" applyNumberFormat="1" applyAlignment="1">
      <alignment horizont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horizontal="center" vertical="center"/>
    </xf>
    <xf numFmtId="9" fontId="0" fillId="0" borderId="0" xfId="0" applyNumberFormat="1" applyAlignment="1">
      <alignment horizontal="center"/>
    </xf>
    <xf numFmtId="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3" fontId="1" fillId="0" borderId="0" xfId="0" applyNumberFormat="1" applyFont="1" applyAlignment="1">
      <alignment horizontal="left" vertical="center" wrapText="1"/>
    </xf>
    <xf numFmtId="0" fontId="0" fillId="0" borderId="0" xfId="0" quotePrefix="1"/>
    <xf numFmtId="0" fontId="7" fillId="0" borderId="0" xfId="0" applyFont="1"/>
    <xf numFmtId="0" fontId="0" fillId="2" borderId="2" xfId="0" applyFill="1" applyBorder="1"/>
    <xf numFmtId="0" fontId="0" fillId="2" borderId="2" xfId="0" quotePrefix="1" applyFill="1" applyBorder="1"/>
    <xf numFmtId="0" fontId="0" fillId="2" borderId="3" xfId="0" quotePrefix="1" applyFill="1" applyBorder="1"/>
    <xf numFmtId="0" fontId="1" fillId="2" borderId="4" xfId="0" applyFont="1" applyFill="1" applyBorder="1"/>
    <xf numFmtId="0" fontId="1" fillId="3" borderId="5" xfId="0" applyFont="1" applyFill="1" applyBorder="1"/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164" fontId="0" fillId="3" borderId="0" xfId="0" applyNumberFormat="1" applyFill="1"/>
    <xf numFmtId="164" fontId="0" fillId="3" borderId="1" xfId="0" applyNumberFormat="1" applyFill="1" applyBorder="1"/>
    <xf numFmtId="3" fontId="0" fillId="0" borderId="7" xfId="0" applyNumberFormat="1" applyBorder="1"/>
    <xf numFmtId="0" fontId="0" fillId="2" borderId="3" xfId="0" applyFill="1" applyBorder="1"/>
    <xf numFmtId="3" fontId="0" fillId="0" borderId="8" xfId="0" applyNumberFormat="1" applyBorder="1"/>
    <xf numFmtId="0" fontId="1" fillId="2" borderId="3" xfId="0" applyFont="1" applyFill="1" applyBorder="1"/>
    <xf numFmtId="164" fontId="1" fillId="3" borderId="1" xfId="0" applyNumberFormat="1" applyFont="1" applyFill="1" applyBorder="1"/>
    <xf numFmtId="3" fontId="1" fillId="0" borderId="1" xfId="0" applyNumberFormat="1" applyFont="1" applyBorder="1"/>
    <xf numFmtId="3" fontId="1" fillId="0" borderId="8" xfId="0" applyNumberFormat="1" applyFont="1" applyBorder="1"/>
    <xf numFmtId="164" fontId="0" fillId="0" borderId="0" xfId="0" applyNumberFormat="1"/>
    <xf numFmtId="3" fontId="3" fillId="0" borderId="0" xfId="0" applyNumberFormat="1" applyFont="1"/>
    <xf numFmtId="0" fontId="1" fillId="5" borderId="4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1" fillId="5" borderId="3" xfId="0" applyFont="1" applyFill="1" applyBorder="1"/>
    <xf numFmtId="3" fontId="3" fillId="6" borderId="1" xfId="0" applyNumberFormat="1" applyFont="1" applyFill="1" applyBorder="1"/>
    <xf numFmtId="3" fontId="1" fillId="0" borderId="5" xfId="0" applyNumberFormat="1" applyFont="1" applyBorder="1"/>
    <xf numFmtId="164" fontId="3" fillId="7" borderId="0" xfId="0" applyNumberFormat="1" applyFont="1" applyFill="1"/>
    <xf numFmtId="164" fontId="3" fillId="7" borderId="1" xfId="0" applyNumberFormat="1" applyFont="1" applyFill="1" applyBorder="1"/>
    <xf numFmtId="0" fontId="3" fillId="0" borderId="0" xfId="2"/>
    <xf numFmtId="0" fontId="1" fillId="5" borderId="4" xfId="2" applyFont="1" applyFill="1" applyBorder="1"/>
    <xf numFmtId="0" fontId="3" fillId="5" borderId="2" xfId="2" applyFill="1" applyBorder="1"/>
    <xf numFmtId="164" fontId="3" fillId="7" borderId="0" xfId="2" applyNumberFormat="1" applyFill="1"/>
    <xf numFmtId="3" fontId="3" fillId="0" borderId="0" xfId="2" applyNumberFormat="1"/>
    <xf numFmtId="0" fontId="3" fillId="5" borderId="3" xfId="2" applyFill="1" applyBorder="1"/>
    <xf numFmtId="164" fontId="3" fillId="7" borderId="1" xfId="2" applyNumberFormat="1" applyFill="1" applyBorder="1"/>
    <xf numFmtId="3" fontId="3" fillId="6" borderId="1" xfId="2" applyNumberFormat="1" applyFill="1" applyBorder="1"/>
    <xf numFmtId="3" fontId="3" fillId="0" borderId="1" xfId="2" applyNumberFormat="1" applyBorder="1"/>
    <xf numFmtId="0" fontId="1" fillId="5" borderId="3" xfId="2" applyFont="1" applyFill="1" applyBorder="1"/>
    <xf numFmtId="164" fontId="1" fillId="7" borderId="5" xfId="2" applyNumberFormat="1" applyFont="1" applyFill="1" applyBorder="1"/>
    <xf numFmtId="3" fontId="1" fillId="6" borderId="5" xfId="2" applyNumberFormat="1" applyFont="1" applyFill="1" applyBorder="1"/>
    <xf numFmtId="3" fontId="3" fillId="0" borderId="5" xfId="2" applyNumberFormat="1" applyBorder="1"/>
    <xf numFmtId="3" fontId="3" fillId="0" borderId="7" xfId="0" applyNumberFormat="1" applyFont="1" applyBorder="1"/>
    <xf numFmtId="3" fontId="3" fillId="0" borderId="7" xfId="2" applyNumberFormat="1" applyBorder="1"/>
    <xf numFmtId="3" fontId="3" fillId="0" borderId="8" xfId="2" applyNumberFormat="1" applyBorder="1"/>
    <xf numFmtId="3" fontId="3" fillId="0" borderId="6" xfId="2" applyNumberFormat="1" applyBorder="1"/>
    <xf numFmtId="0" fontId="3" fillId="2" borderId="2" xfId="0" applyFont="1" applyFill="1" applyBorder="1"/>
    <xf numFmtId="3" fontId="3" fillId="0" borderId="1" xfId="0" applyNumberFormat="1" applyFont="1" applyBorder="1"/>
    <xf numFmtId="3" fontId="3" fillId="0" borderId="8" xfId="0" applyNumberFormat="1" applyFont="1" applyBorder="1"/>
    <xf numFmtId="0" fontId="12" fillId="0" borderId="0" xfId="0" applyFont="1"/>
    <xf numFmtId="0" fontId="1" fillId="0" borderId="0" xfId="2" applyFont="1"/>
    <xf numFmtId="164" fontId="1" fillId="7" borderId="1" xfId="0" applyNumberFormat="1" applyFont="1" applyFill="1" applyBorder="1"/>
    <xf numFmtId="0" fontId="1" fillId="0" borderId="5" xfId="0" applyFont="1" applyBorder="1"/>
    <xf numFmtId="3" fontId="0" fillId="0" borderId="0" xfId="0" quotePrefix="1" applyNumberFormat="1"/>
    <xf numFmtId="3" fontId="0" fillId="0" borderId="1" xfId="0" quotePrefix="1" applyNumberFormat="1" applyBorder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3" fontId="1" fillId="0" borderId="5" xfId="2" applyNumberFormat="1" applyFont="1" applyBorder="1"/>
    <xf numFmtId="3" fontId="1" fillId="0" borderId="6" xfId="2" applyNumberFormat="1" applyFont="1" applyBorder="1"/>
    <xf numFmtId="3" fontId="0" fillId="0" borderId="0" xfId="0" applyNumberFormat="1" applyAlignment="1">
      <alignment horizontal="right"/>
    </xf>
    <xf numFmtId="164" fontId="1" fillId="7" borderId="1" xfId="2" applyNumberFormat="1" applyFont="1" applyFill="1" applyBorder="1"/>
    <xf numFmtId="164" fontId="3" fillId="7" borderId="5" xfId="2" applyNumberFormat="1" applyFill="1" applyBorder="1"/>
    <xf numFmtId="3" fontId="1" fillId="0" borderId="6" xfId="0" applyNumberFormat="1" applyFont="1" applyBorder="1"/>
    <xf numFmtId="0" fontId="3" fillId="5" borderId="9" xfId="2" applyFill="1" applyBorder="1"/>
    <xf numFmtId="164" fontId="3" fillId="7" borderId="10" xfId="2" applyNumberFormat="1" applyFill="1" applyBorder="1"/>
    <xf numFmtId="3" fontId="3" fillId="0" borderId="10" xfId="2" applyNumberFormat="1" applyBorder="1"/>
    <xf numFmtId="3" fontId="3" fillId="0" borderId="11" xfId="2" applyNumberFormat="1" applyBorder="1"/>
    <xf numFmtId="3" fontId="3" fillId="0" borderId="7" xfId="0" applyNumberFormat="1" applyFont="1" applyBorder="1" applyAlignment="1">
      <alignment horizontal="right"/>
    </xf>
    <xf numFmtId="3" fontId="1" fillId="6" borderId="1" xfId="0" applyNumberFormat="1" applyFont="1" applyFill="1" applyBorder="1"/>
    <xf numFmtId="3" fontId="1" fillId="0" borderId="1" xfId="2" applyNumberFormat="1" applyFont="1" applyBorder="1"/>
    <xf numFmtId="3" fontId="8" fillId="0" borderId="0" xfId="0" applyNumberFormat="1" applyFont="1" applyAlignment="1">
      <alignment horizontal="center"/>
    </xf>
    <xf numFmtId="14" fontId="1" fillId="0" borderId="5" xfId="2" applyNumberFormat="1" applyFont="1" applyBorder="1" applyAlignment="1">
      <alignment horizontal="center"/>
    </xf>
    <xf numFmtId="14" fontId="1" fillId="0" borderId="6" xfId="2" applyNumberFormat="1" applyFont="1" applyBorder="1" applyAlignment="1">
      <alignment horizontal="center"/>
    </xf>
    <xf numFmtId="3" fontId="3" fillId="0" borderId="0" xfId="0" applyNumberFormat="1" applyFont="1" applyAlignment="1">
      <alignment horizontal="right"/>
    </xf>
    <xf numFmtId="3" fontId="0" fillId="6" borderId="0" xfId="0" applyNumberFormat="1" applyFill="1"/>
    <xf numFmtId="3" fontId="11" fillId="0" borderId="0" xfId="1" applyNumberFormat="1" applyFill="1" applyBorder="1"/>
    <xf numFmtId="3" fontId="11" fillId="0" borderId="7" xfId="1" applyNumberFormat="1" applyFill="1" applyBorder="1"/>
    <xf numFmtId="3" fontId="0" fillId="6" borderId="1" xfId="0" applyNumberFormat="1" applyFill="1" applyBorder="1"/>
    <xf numFmtId="164" fontId="3" fillId="8" borderId="0" xfId="0" applyNumberFormat="1" applyFont="1" applyFill="1"/>
    <xf numFmtId="3" fontId="3" fillId="6" borderId="10" xfId="2" applyNumberFormat="1" applyFill="1" applyBorder="1"/>
    <xf numFmtId="3" fontId="1" fillId="0" borderId="5" xfId="0" applyNumberFormat="1" applyFont="1" applyBorder="1" applyAlignment="1">
      <alignment horizontal="right"/>
    </xf>
    <xf numFmtId="3" fontId="3" fillId="0" borderId="0" xfId="0" quotePrefix="1" applyNumberFormat="1" applyFont="1"/>
    <xf numFmtId="14" fontId="1" fillId="0" borderId="5" xfId="0" applyNumberFormat="1" applyFont="1" applyBorder="1"/>
    <xf numFmtId="164" fontId="3" fillId="0" borderId="0" xfId="0" applyNumberFormat="1" applyFont="1"/>
    <xf numFmtId="164" fontId="1" fillId="0" borderId="5" xfId="0" applyNumberFormat="1" applyFont="1" applyBorder="1"/>
    <xf numFmtId="164" fontId="3" fillId="0" borderId="0" xfId="2" applyNumberFormat="1"/>
    <xf numFmtId="164" fontId="1" fillId="0" borderId="5" xfId="2" applyNumberFormat="1" applyFont="1" applyBorder="1"/>
    <xf numFmtId="164" fontId="3" fillId="6" borderId="0" xfId="0" applyNumberFormat="1" applyFont="1" applyFill="1"/>
    <xf numFmtId="3" fontId="0" fillId="8" borderId="1" xfId="0" applyNumberFormat="1" applyFill="1" applyBorder="1"/>
    <xf numFmtId="3" fontId="0" fillId="8" borderId="0" xfId="0" applyNumberFormat="1" applyFill="1"/>
    <xf numFmtId="3" fontId="3" fillId="8" borderId="0" xfId="0" applyNumberFormat="1" applyFont="1" applyFill="1"/>
    <xf numFmtId="3" fontId="3" fillId="8" borderId="1" xfId="0" applyNumberFormat="1" applyFont="1" applyFill="1" applyBorder="1"/>
    <xf numFmtId="3" fontId="1" fillId="8" borderId="5" xfId="0" applyNumberFormat="1" applyFont="1" applyFill="1" applyBorder="1"/>
    <xf numFmtId="3" fontId="0" fillId="0" borderId="10" xfId="0" applyNumberFormat="1" applyBorder="1"/>
    <xf numFmtId="164" fontId="1" fillId="3" borderId="5" xfId="0" applyNumberFormat="1" applyFont="1" applyFill="1" applyBorder="1"/>
    <xf numFmtId="3" fontId="3" fillId="6" borderId="0" xfId="0" applyNumberFormat="1" applyFont="1" applyFill="1"/>
    <xf numFmtId="3" fontId="1" fillId="6" borderId="5" xfId="0" applyNumberFormat="1" applyFont="1" applyFill="1" applyBorder="1"/>
    <xf numFmtId="0" fontId="1" fillId="8" borderId="5" xfId="0" applyFont="1" applyFill="1" applyBorder="1"/>
    <xf numFmtId="3" fontId="3" fillId="6" borderId="0" xfId="2" applyNumberFormat="1" applyFill="1"/>
    <xf numFmtId="14" fontId="1" fillId="6" borderId="5" xfId="0" applyNumberFormat="1" applyFont="1" applyFill="1" applyBorder="1"/>
    <xf numFmtId="164" fontId="1" fillId="7" borderId="5" xfId="0" applyNumberFormat="1" applyFont="1" applyFill="1" applyBorder="1"/>
    <xf numFmtId="3" fontId="1" fillId="8" borderId="1" xfId="0" applyNumberFormat="1" applyFont="1" applyFill="1" applyBorder="1"/>
    <xf numFmtId="164" fontId="3" fillId="7" borderId="0" xfId="0" applyNumberFormat="1" applyFont="1" applyFill="1" applyAlignment="1">
      <alignment horizontal="right"/>
    </xf>
    <xf numFmtId="3" fontId="3" fillId="8" borderId="0" xfId="0" applyNumberFormat="1" applyFont="1" applyFill="1" applyAlignment="1">
      <alignment horizontal="right"/>
    </xf>
    <xf numFmtId="2" fontId="0" fillId="0" borderId="0" xfId="0" applyNumberFormat="1"/>
    <xf numFmtId="164" fontId="0" fillId="3" borderId="0" xfId="0" applyNumberFormat="1" applyFill="1" applyAlignment="1">
      <alignment horizontal="right"/>
    </xf>
    <xf numFmtId="3" fontId="0" fillId="8" borderId="0" xfId="0" applyNumberFormat="1" applyFill="1" applyAlignment="1">
      <alignment horizontal="right"/>
    </xf>
    <xf numFmtId="3" fontId="0" fillId="6" borderId="0" xfId="0" applyNumberFormat="1" applyFill="1" applyAlignment="1">
      <alignment horizontal="right"/>
    </xf>
    <xf numFmtId="3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 vertical="center" wrapText="1"/>
    </xf>
    <xf numFmtId="3" fontId="0" fillId="0" borderId="0" xfId="0" quotePrefix="1" applyNumberFormat="1" applyAlignment="1">
      <alignment horizontal="right"/>
    </xf>
    <xf numFmtId="3" fontId="3" fillId="8" borderId="10" xfId="2" applyNumberFormat="1" applyFill="1" applyBorder="1"/>
    <xf numFmtId="3" fontId="3" fillId="8" borderId="0" xfId="2" applyNumberFormat="1" applyFill="1"/>
    <xf numFmtId="164" fontId="3" fillId="7" borderId="0" xfId="2" applyNumberFormat="1" applyFill="1" applyAlignment="1">
      <alignment horizontal="right"/>
    </xf>
    <xf numFmtId="3" fontId="3" fillId="8" borderId="0" xfId="2" applyNumberFormat="1" applyFill="1" applyAlignment="1">
      <alignment horizontal="right"/>
    </xf>
    <xf numFmtId="3" fontId="3" fillId="0" borderId="0" xfId="2" applyNumberFormat="1" applyAlignment="1">
      <alignment horizontal="right"/>
    </xf>
    <xf numFmtId="3" fontId="3" fillId="6" borderId="0" xfId="2" applyNumberFormat="1" applyFill="1" applyAlignment="1">
      <alignment horizontal="right"/>
    </xf>
    <xf numFmtId="3" fontId="3" fillId="8" borderId="1" xfId="2" applyNumberFormat="1" applyFill="1" applyBorder="1"/>
    <xf numFmtId="3" fontId="1" fillId="8" borderId="1" xfId="2" applyNumberFormat="1" applyFont="1" applyFill="1" applyBorder="1"/>
    <xf numFmtId="164" fontId="3" fillId="3" borderId="0" xfId="2" applyNumberFormat="1" applyFill="1"/>
    <xf numFmtId="3" fontId="3" fillId="9" borderId="0" xfId="2" applyNumberFormat="1" applyFill="1"/>
    <xf numFmtId="164" fontId="0" fillId="3" borderId="1" xfId="0" applyNumberFormat="1" applyFill="1" applyBorder="1" applyAlignment="1">
      <alignment horizontal="right"/>
    </xf>
    <xf numFmtId="3" fontId="0" fillId="8" borderId="1" xfId="0" applyNumberFormat="1" applyFill="1" applyBorder="1" applyAlignment="1">
      <alignment horizontal="right"/>
    </xf>
    <xf numFmtId="3" fontId="0" fillId="0" borderId="1" xfId="0" applyNumberFormat="1" applyBorder="1" applyAlignment="1">
      <alignment horizontal="right"/>
    </xf>
    <xf numFmtId="3" fontId="0" fillId="6" borderId="1" xfId="0" applyNumberForma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3" fontId="1" fillId="8" borderId="1" xfId="0" applyNumberFormat="1" applyFont="1" applyFill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1" fillId="6" borderId="1" xfId="0" applyNumberFormat="1" applyFont="1" applyFill="1" applyBorder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3" fontId="1" fillId="8" borderId="5" xfId="2" applyNumberFormat="1" applyFont="1" applyFill="1" applyBorder="1"/>
    <xf numFmtId="164" fontId="3" fillId="7" borderId="1" xfId="0" applyNumberFormat="1" applyFont="1" applyFill="1" applyBorder="1" applyAlignment="1">
      <alignment horizontal="right"/>
    </xf>
    <xf numFmtId="3" fontId="3" fillId="8" borderId="1" xfId="0" applyNumberFormat="1" applyFont="1" applyFill="1" applyBorder="1" applyAlignment="1">
      <alignment horizontal="right"/>
    </xf>
    <xf numFmtId="164" fontId="1" fillId="7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right"/>
    </xf>
    <xf numFmtId="164" fontId="3" fillId="7" borderId="1" xfId="2" applyNumberFormat="1" applyFill="1" applyBorder="1" applyAlignment="1">
      <alignment horizontal="right"/>
    </xf>
    <xf numFmtId="164" fontId="3" fillId="8" borderId="1" xfId="0" applyNumberFormat="1" applyFont="1" applyFill="1" applyBorder="1"/>
    <xf numFmtId="164" fontId="3" fillId="0" borderId="1" xfId="0" applyNumberFormat="1" applyFont="1" applyBorder="1"/>
    <xf numFmtId="164" fontId="3" fillId="6" borderId="1" xfId="0" applyNumberFormat="1" applyFont="1" applyFill="1" applyBorder="1"/>
    <xf numFmtId="164" fontId="1" fillId="8" borderId="1" xfId="0" applyNumberFormat="1" applyFont="1" applyFill="1" applyBorder="1"/>
    <xf numFmtId="164" fontId="1" fillId="0" borderId="1" xfId="0" applyNumberFormat="1" applyFont="1" applyBorder="1"/>
    <xf numFmtId="164" fontId="1" fillId="6" borderId="1" xfId="0" applyNumberFormat="1" applyFont="1" applyFill="1" applyBorder="1"/>
    <xf numFmtId="3" fontId="0" fillId="8" borderId="5" xfId="0" applyNumberFormat="1" applyFill="1" applyBorder="1"/>
    <xf numFmtId="0" fontId="13" fillId="0" borderId="0" xfId="0" applyFont="1" applyAlignment="1">
      <alignment vertical="center"/>
    </xf>
    <xf numFmtId="0" fontId="0" fillId="0" borderId="0" xfId="0" applyAlignment="1">
      <alignment vertical="center"/>
    </xf>
    <xf numFmtId="164" fontId="1" fillId="7" borderId="5" xfId="2" applyNumberFormat="1" applyFont="1" applyFill="1" applyBorder="1" applyAlignment="1">
      <alignment horizontal="right"/>
    </xf>
    <xf numFmtId="3" fontId="0" fillId="10" borderId="0" xfId="0" applyNumberFormat="1" applyFill="1"/>
    <xf numFmtId="3" fontId="0" fillId="10" borderId="7" xfId="0" applyNumberFormat="1" applyFill="1" applyBorder="1"/>
    <xf numFmtId="3" fontId="1" fillId="10" borderId="5" xfId="0" applyNumberFormat="1" applyFont="1" applyFill="1" applyBorder="1"/>
    <xf numFmtId="3" fontId="1" fillId="10" borderId="6" xfId="0" applyNumberFormat="1" applyFont="1" applyFill="1" applyBorder="1"/>
  </cellXfs>
  <cellStyles count="8">
    <cellStyle name="Bad" xfId="1" builtinId="27"/>
    <cellStyle name="Normal" xfId="0" builtinId="0"/>
    <cellStyle name="Normal 2" xfId="2" xr:uid="{00000000-0005-0000-0000-000002000000}"/>
    <cellStyle name="Normale 4" xfId="3" xr:uid="{00000000-0005-0000-0000-000003000000}"/>
    <cellStyle name="Normale 4 2" xfId="4" xr:uid="{00000000-0005-0000-0000-000004000000}"/>
    <cellStyle name="Normale 7" xfId="5" xr:uid="{00000000-0005-0000-0000-000005000000}"/>
    <cellStyle name="Normale_4_uesto_pere" xfId="6" xr:uid="{00000000-0005-0000-0000-000006000000}"/>
    <cellStyle name="Standard 2" xfId="7" xr:uid="{00000000-0005-0000-0000-000007000000}"/>
  </cellStyles>
  <dxfs count="38"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lor theme="0"/>
      </font>
    </dxf>
    <dxf>
      <font>
        <color theme="2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</dxfs>
  <tableStyles count="0" defaultTableStyle="TableStyleMedium9" defaultPivotStyle="PivotStyleLight16"/>
  <colors>
    <mruColors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Apple</a:t>
            </a:r>
            <a:r>
              <a:rPr lang="en-GB" baseline="0"/>
              <a:t> stocks as of April 1st (t)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cat>
            <c:numRef>
              <c:f>Poland!$E$33:$N$33</c:f>
              <c:numCache>
                <c:formatCode>General</c:formatCode>
                <c:ptCount val="10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</c:numCache>
            </c:numRef>
          </c:cat>
          <c:val>
            <c:numRef>
              <c:f>Poland!$E$33:$N$33</c:f>
              <c:numCache>
                <c:formatCode>General</c:formatCode>
                <c:ptCount val="10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35-47EC-B83D-F5F65126AF5C}"/>
            </c:ext>
          </c:extLst>
        </c:ser>
        <c:ser>
          <c:idx val="1"/>
          <c:order val="1"/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cat>
            <c:numRef>
              <c:f>Poland!$E$33:$N$33</c:f>
              <c:numCache>
                <c:formatCode>General</c:formatCode>
                <c:ptCount val="10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</c:numCache>
            </c:numRef>
          </c:cat>
          <c:val>
            <c:numRef>
              <c:f>Poland!$E$34:$N$34</c:f>
              <c:numCache>
                <c:formatCode>#,##0</c:formatCode>
                <c:ptCount val="10"/>
                <c:pt idx="0">
                  <c:v>509000</c:v>
                </c:pt>
                <c:pt idx="1">
                  <c:v>379000</c:v>
                </c:pt>
                <c:pt idx="2">
                  <c:v>505000</c:v>
                </c:pt>
                <c:pt idx="3">
                  <c:v>563000</c:v>
                </c:pt>
                <c:pt idx="4">
                  <c:v>617000</c:v>
                </c:pt>
                <c:pt idx="5">
                  <c:v>592000</c:v>
                </c:pt>
                <c:pt idx="6">
                  <c:v>329000</c:v>
                </c:pt>
                <c:pt idx="7">
                  <c:v>665000</c:v>
                </c:pt>
                <c:pt idx="8">
                  <c:v>286000</c:v>
                </c:pt>
                <c:pt idx="9">
                  <c:v>580000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35-47EC-B83D-F5F65126AF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5651215"/>
        <c:axId val="255649775"/>
      </c:lineChart>
      <c:catAx>
        <c:axId val="255651215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5649775"/>
        <c:crosses val="autoZero"/>
        <c:auto val="1"/>
        <c:lblAlgn val="ctr"/>
        <c:lblOffset val="100"/>
        <c:noMultiLvlLbl val="0"/>
      </c:catAx>
      <c:valAx>
        <c:axId val="255649775"/>
        <c:scaling>
          <c:orientation val="minMax"/>
          <c:min val="200000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565121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Poland!$E$56</c:f>
              <c:strCache>
                <c:ptCount val="1"/>
                <c:pt idx="0">
                  <c:v>2024-2025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rgbClr val="92D05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Poland!$F$55:$I$55</c:f>
              <c:strCache>
                <c:ptCount val="4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</c:strCache>
            </c:strRef>
          </c:cat>
          <c:val>
            <c:numRef>
              <c:f>Poland!$F$56:$I$56</c:f>
              <c:numCache>
                <c:formatCode>#,##0</c:formatCode>
                <c:ptCount val="4"/>
                <c:pt idx="0">
                  <c:v>928000</c:v>
                </c:pt>
                <c:pt idx="1">
                  <c:v>739000</c:v>
                </c:pt>
                <c:pt idx="2">
                  <c:v>550000</c:v>
                </c:pt>
                <c:pt idx="3">
                  <c:v>379000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C7-4A96-B76B-373C52127ECE}"/>
            </c:ext>
          </c:extLst>
        </c:ser>
        <c:ser>
          <c:idx val="1"/>
          <c:order val="1"/>
          <c:tx>
            <c:strRef>
              <c:f>Poland!$E$57</c:f>
              <c:strCache>
                <c:ptCount val="1"/>
                <c:pt idx="0">
                  <c:v>2025-2026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Poland!$F$55:$I$55</c:f>
              <c:strCache>
                <c:ptCount val="4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</c:strCache>
            </c:strRef>
          </c:cat>
          <c:val>
            <c:numRef>
              <c:f>Poland!$F$57:$I$57</c:f>
              <c:numCache>
                <c:formatCode>#,##0</c:formatCode>
                <c:ptCount val="4"/>
                <c:pt idx="0">
                  <c:v>1055000</c:v>
                </c:pt>
                <c:pt idx="1">
                  <c:v>836000</c:v>
                </c:pt>
                <c:pt idx="2">
                  <c:v>624000</c:v>
                </c:pt>
                <c:pt idx="3">
                  <c:v>509000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C7-4A96-B76B-373C52127E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8961536"/>
        <c:axId val="158955296"/>
      </c:barChart>
      <c:catAx>
        <c:axId val="158961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9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8955296"/>
        <c:crosses val="autoZero"/>
        <c:auto val="1"/>
        <c:lblAlgn val="ctr"/>
        <c:lblOffset val="100"/>
        <c:noMultiLvlLbl val="0"/>
      </c:catAx>
      <c:valAx>
        <c:axId val="158955296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8961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525780</xdr:colOff>
      <xdr:row>16</xdr:row>
      <xdr:rowOff>22860</xdr:rowOff>
    </xdr:to>
    <xdr:pic>
      <xdr:nvPicPr>
        <xdr:cNvPr id="21780" name="Picture 6" descr="WAPA FINAL">
          <a:extLst>
            <a:ext uri="{FF2B5EF4-FFF2-40B4-BE49-F238E27FC236}">
              <a16:creationId xmlns:a16="http://schemas.microsoft.com/office/drawing/2014/main" id="{1870A166-765D-DB21-4542-786EAE6DB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" y="335280"/>
          <a:ext cx="2385060" cy="2369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36</xdr:row>
      <xdr:rowOff>0</xdr:rowOff>
    </xdr:from>
    <xdr:to>
      <xdr:col>9</xdr:col>
      <xdr:colOff>590550</xdr:colOff>
      <xdr:row>52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CE738CC-DA4E-45E6-BA57-451BD27608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61</xdr:row>
      <xdr:rowOff>0</xdr:rowOff>
    </xdr:from>
    <xdr:to>
      <xdr:col>15</xdr:col>
      <xdr:colOff>252229</xdr:colOff>
      <xdr:row>73</xdr:row>
      <xdr:rowOff>121920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182AD4B-23FF-4B92-B515-A14FB75E33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Prognosfruit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89C650"/>
    </a:accent1>
    <a:accent2>
      <a:srgbClr val="FCB814"/>
    </a:accent2>
    <a:accent3>
      <a:srgbClr val="588533"/>
    </a:accent3>
    <a:accent4>
      <a:srgbClr val="BCC23D"/>
    </a:accent4>
    <a:accent5>
      <a:srgbClr val="B7D994"/>
    </a:accent5>
    <a:accent6>
      <a:srgbClr val="588533"/>
    </a:accent6>
    <a:hlink>
      <a:srgbClr val="BCC23D"/>
    </a:hlink>
    <a:folHlink>
      <a:srgbClr val="92D05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9:G39"/>
  <sheetViews>
    <sheetView zoomScale="90" zoomScaleNormal="90" workbookViewId="0"/>
  </sheetViews>
  <sheetFormatPr defaultColWidth="8.6640625" defaultRowHeight="13.2" x14ac:dyDescent="0.25"/>
  <cols>
    <col min="1" max="2" width="8.6640625" customWidth="1"/>
    <col min="3" max="3" width="18.33203125" customWidth="1"/>
  </cols>
  <sheetData>
    <row r="19" spans="2:7" x14ac:dyDescent="0.25">
      <c r="B19" s="3" t="s">
        <v>179</v>
      </c>
      <c r="G19" s="8" t="s">
        <v>142</v>
      </c>
    </row>
    <row r="21" spans="2:7" x14ac:dyDescent="0.25">
      <c r="B21" t="s">
        <v>61</v>
      </c>
      <c r="C21" t="s">
        <v>62</v>
      </c>
    </row>
    <row r="22" spans="2:7" x14ac:dyDescent="0.25">
      <c r="C22" t="s">
        <v>63</v>
      </c>
    </row>
    <row r="23" spans="2:7" x14ac:dyDescent="0.25">
      <c r="C23" t="s">
        <v>89</v>
      </c>
    </row>
    <row r="24" spans="2:7" x14ac:dyDescent="0.25">
      <c r="C24" s="3" t="s">
        <v>117</v>
      </c>
    </row>
    <row r="26" spans="2:7" x14ac:dyDescent="0.25">
      <c r="B26" t="s">
        <v>64</v>
      </c>
      <c r="C26" t="s">
        <v>65</v>
      </c>
      <c r="D26" t="s">
        <v>66</v>
      </c>
    </row>
    <row r="27" spans="2:7" x14ac:dyDescent="0.25">
      <c r="C27" t="s">
        <v>67</v>
      </c>
      <c r="D27" t="s">
        <v>68</v>
      </c>
    </row>
    <row r="28" spans="2:7" x14ac:dyDescent="0.25">
      <c r="C28" t="s">
        <v>69</v>
      </c>
      <c r="D28" t="s">
        <v>70</v>
      </c>
    </row>
    <row r="29" spans="2:7" x14ac:dyDescent="0.25">
      <c r="C29" t="s">
        <v>71</v>
      </c>
      <c r="D29" s="3" t="s">
        <v>85</v>
      </c>
    </row>
    <row r="30" spans="2:7" x14ac:dyDescent="0.25">
      <c r="C30" s="3" t="s">
        <v>134</v>
      </c>
      <c r="D30" t="s">
        <v>72</v>
      </c>
    </row>
    <row r="31" spans="2:7" x14ac:dyDescent="0.25">
      <c r="C31" t="s">
        <v>73</v>
      </c>
      <c r="D31" t="s">
        <v>130</v>
      </c>
    </row>
    <row r="32" spans="2:7" x14ac:dyDescent="0.25">
      <c r="C32" t="s">
        <v>74</v>
      </c>
      <c r="D32" t="s">
        <v>129</v>
      </c>
    </row>
    <row r="33" spans="3:4" x14ac:dyDescent="0.25">
      <c r="C33" t="s">
        <v>75</v>
      </c>
      <c r="D33" t="s">
        <v>76</v>
      </c>
    </row>
    <row r="34" spans="3:4" x14ac:dyDescent="0.25">
      <c r="C34" t="s">
        <v>77</v>
      </c>
      <c r="D34" s="19" t="s">
        <v>84</v>
      </c>
    </row>
    <row r="35" spans="3:4" x14ac:dyDescent="0.25">
      <c r="C35" t="s">
        <v>143</v>
      </c>
      <c r="D35" s="19" t="s">
        <v>144</v>
      </c>
    </row>
    <row r="36" spans="3:4" x14ac:dyDescent="0.25">
      <c r="C36" t="s">
        <v>79</v>
      </c>
      <c r="D36" t="s">
        <v>156</v>
      </c>
    </row>
    <row r="37" spans="3:4" x14ac:dyDescent="0.25">
      <c r="C37" t="s">
        <v>78</v>
      </c>
      <c r="D37" t="s">
        <v>83</v>
      </c>
    </row>
    <row r="38" spans="3:4" x14ac:dyDescent="0.25">
      <c r="C38" t="s">
        <v>80</v>
      </c>
      <c r="D38" t="s">
        <v>82</v>
      </c>
    </row>
    <row r="39" spans="3:4" x14ac:dyDescent="0.25">
      <c r="C39" t="s">
        <v>81</v>
      </c>
      <c r="D39" t="s">
        <v>163</v>
      </c>
    </row>
  </sheetData>
  <phoneticPr fontId="2" type="noConversion"/>
  <pageMargins left="0.75" right="0.75" top="1" bottom="1" header="0.5" footer="0.5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C59"/>
  <sheetViews>
    <sheetView zoomScaleNormal="100" workbookViewId="0"/>
  </sheetViews>
  <sheetFormatPr defaultColWidth="8.6640625" defaultRowHeight="13.2" x14ac:dyDescent="0.25"/>
  <cols>
    <col min="1" max="1" width="25" customWidth="1"/>
    <col min="2" max="2" width="10.6640625" customWidth="1"/>
    <col min="3" max="4" width="11.33203125" bestFit="1" customWidth="1"/>
    <col min="5" max="5" width="11.33203125" customWidth="1"/>
    <col min="6" max="12" width="11.6640625" style="3" customWidth="1"/>
    <col min="13" max="13" width="11.6640625" customWidth="1"/>
    <col min="14" max="14" width="10.6640625" customWidth="1"/>
    <col min="15" max="24" width="10.109375" bestFit="1" customWidth="1"/>
  </cols>
  <sheetData>
    <row r="1" spans="1:29" ht="13.8" thickBot="1" x14ac:dyDescent="0.3">
      <c r="A1" s="38" t="s">
        <v>90</v>
      </c>
      <c r="B1" s="24" t="s">
        <v>169</v>
      </c>
      <c r="C1" s="114" t="s">
        <v>178</v>
      </c>
      <c r="D1" s="69" t="s">
        <v>170</v>
      </c>
      <c r="E1" s="116">
        <v>46113</v>
      </c>
      <c r="F1" s="99">
        <v>45748</v>
      </c>
      <c r="G1" s="99">
        <v>45383</v>
      </c>
      <c r="H1" s="99">
        <v>45017</v>
      </c>
      <c r="I1" s="99">
        <v>44652</v>
      </c>
      <c r="J1" s="99">
        <v>44287</v>
      </c>
      <c r="K1" s="99">
        <v>43922</v>
      </c>
      <c r="L1" s="99">
        <v>43556</v>
      </c>
      <c r="M1" s="99">
        <v>43191</v>
      </c>
      <c r="N1" s="25">
        <v>42826</v>
      </c>
      <c r="O1" s="25">
        <v>42461</v>
      </c>
      <c r="P1" s="25">
        <v>42095</v>
      </c>
      <c r="Q1" s="25">
        <v>41730</v>
      </c>
      <c r="R1" s="25">
        <v>41365</v>
      </c>
      <c r="S1" s="25">
        <v>41000</v>
      </c>
      <c r="T1" s="25">
        <v>40634</v>
      </c>
      <c r="U1" s="25">
        <v>40269</v>
      </c>
      <c r="V1" s="25">
        <v>39904</v>
      </c>
      <c r="W1" s="25">
        <v>39539</v>
      </c>
      <c r="X1" s="26">
        <v>39173</v>
      </c>
    </row>
    <row r="2" spans="1:29" x14ac:dyDescent="0.25">
      <c r="A2" s="20" t="s">
        <v>11</v>
      </c>
      <c r="B2" s="27" t="str">
        <f t="shared" ref="B2:B27" si="0">IFERROR(((E2-F2)/F2),"")</f>
        <v/>
      </c>
      <c r="C2" s="106">
        <v>0</v>
      </c>
      <c r="D2" s="1">
        <v>0</v>
      </c>
      <c r="E2" s="91"/>
      <c r="F2" s="37"/>
      <c r="G2" s="37"/>
      <c r="H2" s="37"/>
      <c r="I2" s="37">
        <v>981.02510679599993</v>
      </c>
      <c r="J2" s="37">
        <v>2359.6030000000001</v>
      </c>
      <c r="K2" s="37">
        <v>3525</v>
      </c>
      <c r="L2" s="37">
        <v>4116</v>
      </c>
      <c r="M2" s="1">
        <v>3354</v>
      </c>
      <c r="N2" s="1">
        <v>5221</v>
      </c>
      <c r="O2" s="1">
        <v>2515</v>
      </c>
      <c r="P2" s="1">
        <v>14540</v>
      </c>
      <c r="Q2" s="1">
        <v>4097</v>
      </c>
      <c r="R2" s="1">
        <v>10271</v>
      </c>
      <c r="S2" s="1">
        <v>8099</v>
      </c>
      <c r="T2" s="1">
        <v>22143.375680580761</v>
      </c>
      <c r="U2" s="1">
        <v>16464.609800362978</v>
      </c>
      <c r="V2" s="1">
        <v>23267.695099818513</v>
      </c>
      <c r="W2" s="1">
        <v>18465.517241379312</v>
      </c>
      <c r="X2" s="29">
        <v>13072.595281306714</v>
      </c>
      <c r="AB2" s="1"/>
      <c r="AC2" s="1"/>
    </row>
    <row r="3" spans="1:29" x14ac:dyDescent="0.25">
      <c r="A3" s="20" t="s">
        <v>32</v>
      </c>
      <c r="B3" s="27">
        <f t="shared" si="0"/>
        <v>4.8476857480436314E-2</v>
      </c>
      <c r="C3" s="106">
        <v>-205.23512528441984</v>
      </c>
      <c r="D3" s="1">
        <v>-738.65975240441981</v>
      </c>
      <c r="E3" s="91">
        <v>1166.4853542342</v>
      </c>
      <c r="F3" s="1">
        <v>1112.55231425646</v>
      </c>
      <c r="G3" s="1">
        <v>1575.4124835603</v>
      </c>
      <c r="H3" s="37">
        <v>1169.93356343094</v>
      </c>
      <c r="I3" s="37">
        <v>839.76282566399993</v>
      </c>
      <c r="J3" s="37">
        <v>1715.769</v>
      </c>
      <c r="K3" s="37">
        <v>877</v>
      </c>
      <c r="L3" s="37">
        <v>2477</v>
      </c>
      <c r="M3" s="1">
        <v>1277</v>
      </c>
      <c r="N3" s="1">
        <v>858</v>
      </c>
      <c r="O3" s="1">
        <v>2401</v>
      </c>
      <c r="P3" s="1">
        <v>1467</v>
      </c>
      <c r="Q3" s="1">
        <v>1925</v>
      </c>
      <c r="R3" s="1">
        <v>133</v>
      </c>
      <c r="S3" s="1">
        <v>838</v>
      </c>
      <c r="T3" s="1">
        <v>1276.7695099818511</v>
      </c>
      <c r="U3" s="1">
        <v>1048.0943738656988</v>
      </c>
      <c r="V3" s="1">
        <v>2000.9074410163339</v>
      </c>
      <c r="W3" s="1">
        <v>2115.2450090744101</v>
      </c>
      <c r="X3" s="29">
        <v>838.47549909255895</v>
      </c>
      <c r="AB3" s="1"/>
      <c r="AC3" s="1"/>
    </row>
    <row r="4" spans="1:29" x14ac:dyDescent="0.25">
      <c r="A4" s="39" t="s">
        <v>164</v>
      </c>
      <c r="B4" s="27">
        <f t="shared" si="0"/>
        <v>8.8469543631481851E-2</v>
      </c>
      <c r="C4" s="106">
        <v>-26634.939430476312</v>
      </c>
      <c r="D4" s="1">
        <v>-25455.594732552621</v>
      </c>
      <c r="E4" s="91">
        <v>161170.44090839999</v>
      </c>
      <c r="F4" s="1">
        <v>148070.69416998472</v>
      </c>
      <c r="G4" s="1">
        <v>99790.316864076303</v>
      </c>
      <c r="H4" s="37">
        <v>68547.560250139737</v>
      </c>
      <c r="I4" s="37">
        <v>43166.724023891999</v>
      </c>
      <c r="J4" s="37">
        <v>11070.772999999999</v>
      </c>
      <c r="K4" s="37">
        <v>0</v>
      </c>
      <c r="L4" s="37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29"/>
      <c r="AB4" s="1"/>
      <c r="AC4" s="1"/>
    </row>
    <row r="5" spans="1:29" x14ac:dyDescent="0.25">
      <c r="A5" s="20" t="s">
        <v>48</v>
      </c>
      <c r="B5" s="27">
        <f t="shared" si="0"/>
        <v>9.0200283778278198E-2</v>
      </c>
      <c r="C5" s="106">
        <v>-1979.5006894832404</v>
      </c>
      <c r="D5" s="1">
        <v>-3486.6729225312602</v>
      </c>
      <c r="E5" s="91">
        <v>4435.2162148278594</v>
      </c>
      <c r="F5" s="1">
        <v>4068.2581731283799</v>
      </c>
      <c r="G5" s="1">
        <v>8059.5888946742398</v>
      </c>
      <c r="H5" s="37">
        <v>6744.0875606781601</v>
      </c>
      <c r="I5" s="37">
        <v>6051.7789984512001</v>
      </c>
      <c r="J5" s="37">
        <v>8504.2950000000001</v>
      </c>
      <c r="K5" s="37">
        <v>4211</v>
      </c>
      <c r="L5" s="37">
        <v>12691</v>
      </c>
      <c r="M5" s="1">
        <v>10405</v>
      </c>
      <c r="N5" s="1">
        <v>6041</v>
      </c>
      <c r="O5" s="1">
        <v>7089</v>
      </c>
      <c r="P5" s="1">
        <v>10157</v>
      </c>
      <c r="Q5" s="1">
        <v>13682</v>
      </c>
      <c r="R5" s="1">
        <v>1448</v>
      </c>
      <c r="S5" s="1">
        <v>8918</v>
      </c>
      <c r="T5" s="1">
        <v>8899.2740471869329</v>
      </c>
      <c r="U5" s="1">
        <v>18027.223230490017</v>
      </c>
      <c r="V5" s="1">
        <v>12367.513611615244</v>
      </c>
      <c r="W5" s="1">
        <v>11262.250453720508</v>
      </c>
      <c r="X5" s="29">
        <v>15931.034482758621</v>
      </c>
      <c r="AB5" s="1"/>
      <c r="AC5" s="1"/>
    </row>
    <row r="6" spans="1:29" x14ac:dyDescent="0.25">
      <c r="A6" s="20" t="s">
        <v>12</v>
      </c>
      <c r="B6" s="27">
        <f t="shared" si="0"/>
        <v>-0.15571277531050615</v>
      </c>
      <c r="C6" s="106">
        <v>-23263.029006293989</v>
      </c>
      <c r="D6" s="1">
        <v>-29722.782189837657</v>
      </c>
      <c r="E6" s="91">
        <v>102596.30186064336</v>
      </c>
      <c r="F6" s="1">
        <v>121518.24504791663</v>
      </c>
      <c r="G6" s="1">
        <v>125556.26947521504</v>
      </c>
      <c r="H6" s="37">
        <v>110071.79078862119</v>
      </c>
      <c r="I6" s="37">
        <v>107040.040898112</v>
      </c>
      <c r="J6" s="37">
        <v>138523.03200000001</v>
      </c>
      <c r="K6" s="37">
        <v>146809</v>
      </c>
      <c r="L6" s="37">
        <v>119064</v>
      </c>
      <c r="M6" s="1">
        <v>137910</v>
      </c>
      <c r="N6" s="1">
        <v>107077</v>
      </c>
      <c r="O6" s="1">
        <v>91699</v>
      </c>
      <c r="P6" s="1">
        <v>109230</v>
      </c>
      <c r="Q6" s="1">
        <v>87487</v>
      </c>
      <c r="R6" s="1">
        <v>140483</v>
      </c>
      <c r="S6" s="1">
        <v>79865</v>
      </c>
      <c r="T6" s="1">
        <v>108125.22686025409</v>
      </c>
      <c r="U6" s="1">
        <v>76720.508166969143</v>
      </c>
      <c r="V6" s="1">
        <v>108239.56442831217</v>
      </c>
      <c r="W6" s="1">
        <v>64067.150635208709</v>
      </c>
      <c r="X6" s="29">
        <v>65401.088929219601</v>
      </c>
      <c r="AB6" s="1"/>
      <c r="AC6" s="1"/>
    </row>
    <row r="7" spans="1:29" x14ac:dyDescent="0.25">
      <c r="A7" s="20" t="s">
        <v>9</v>
      </c>
      <c r="B7" s="27">
        <f t="shared" si="0"/>
        <v>-0.23595186066387935</v>
      </c>
      <c r="C7" s="106">
        <v>-39570.467587256775</v>
      </c>
      <c r="D7" s="1">
        <v>-47694.105538944481</v>
      </c>
      <c r="E7" s="91">
        <v>157533.66610597307</v>
      </c>
      <c r="F7" s="1">
        <v>206182.90654153499</v>
      </c>
      <c r="G7" s="1">
        <v>197796.80462242468</v>
      </c>
      <c r="H7" s="37">
        <v>197347.60393375103</v>
      </c>
      <c r="I7" s="37">
        <v>160397.36682513598</v>
      </c>
      <c r="J7" s="37">
        <v>183478.04800000001</v>
      </c>
      <c r="K7" s="37">
        <v>235154</v>
      </c>
      <c r="L7" s="37">
        <v>187094</v>
      </c>
      <c r="M7" s="1">
        <v>205160</v>
      </c>
      <c r="N7" s="1">
        <v>183607</v>
      </c>
      <c r="O7" s="1">
        <v>127277</v>
      </c>
      <c r="P7" s="1">
        <v>182788</v>
      </c>
      <c r="Q7" s="1">
        <v>127772</v>
      </c>
      <c r="R7" s="1">
        <v>134804</v>
      </c>
      <c r="S7" s="1">
        <v>112946</v>
      </c>
      <c r="T7" s="1">
        <v>95662.431941923773</v>
      </c>
      <c r="U7" s="1">
        <v>86915.60798548095</v>
      </c>
      <c r="V7" s="1">
        <v>84457.350272232303</v>
      </c>
      <c r="W7" s="1">
        <v>62161.524500907442</v>
      </c>
      <c r="X7" s="29">
        <v>45315.789473684214</v>
      </c>
      <c r="AB7" s="1"/>
      <c r="AC7" s="1"/>
    </row>
    <row r="8" spans="1:29" x14ac:dyDescent="0.25">
      <c r="A8" s="20" t="s">
        <v>3</v>
      </c>
      <c r="B8" s="27">
        <f t="shared" si="0"/>
        <v>-0.11342697288922735</v>
      </c>
      <c r="C8" s="106">
        <v>-9891.9215397109801</v>
      </c>
      <c r="D8" s="1">
        <v>-8765.4239816312402</v>
      </c>
      <c r="E8" s="91">
        <v>44588.069189622416</v>
      </c>
      <c r="F8" s="1">
        <v>50292.607406441399</v>
      </c>
      <c r="G8" s="1">
        <v>54620.757678254457</v>
      </c>
      <c r="H8" s="37">
        <v>37208.653847164802</v>
      </c>
      <c r="I8" s="37">
        <v>46510.0392990072</v>
      </c>
      <c r="J8" s="37">
        <v>42853.034</v>
      </c>
      <c r="K8" s="37">
        <v>82838</v>
      </c>
      <c r="L8" s="37">
        <v>44420</v>
      </c>
      <c r="M8" s="1">
        <v>72814</v>
      </c>
      <c r="N8" s="1">
        <v>58617</v>
      </c>
      <c r="O8" s="1">
        <v>78836</v>
      </c>
      <c r="P8" s="1">
        <v>126248</v>
      </c>
      <c r="Q8" s="1">
        <v>102256</v>
      </c>
      <c r="R8" s="1">
        <v>115367</v>
      </c>
      <c r="S8" s="1">
        <v>94919</v>
      </c>
      <c r="T8" s="1">
        <v>99702.359346642465</v>
      </c>
      <c r="U8" s="1">
        <v>98368.421052631573</v>
      </c>
      <c r="V8" s="1">
        <v>134232.30490018148</v>
      </c>
      <c r="W8" s="1">
        <v>104123.41197822141</v>
      </c>
      <c r="X8" s="29">
        <v>76853.90199637023</v>
      </c>
      <c r="AB8" s="1"/>
      <c r="AC8" s="1"/>
    </row>
    <row r="9" spans="1:29" x14ac:dyDescent="0.25">
      <c r="A9" s="20" t="s">
        <v>17</v>
      </c>
      <c r="B9" s="27">
        <f t="shared" si="0"/>
        <v>6.8548186459085933E-2</v>
      </c>
      <c r="C9" s="106">
        <v>-41543.529079455475</v>
      </c>
      <c r="D9" s="1">
        <v>-32234.716860704822</v>
      </c>
      <c r="E9" s="91">
        <v>170191.66104961481</v>
      </c>
      <c r="F9" s="1">
        <v>159273.73534139758</v>
      </c>
      <c r="G9" s="1">
        <v>173230.20013272666</v>
      </c>
      <c r="H9" s="37">
        <v>100577.95642777806</v>
      </c>
      <c r="I9" s="37">
        <v>161009.35731995519</v>
      </c>
      <c r="J9" s="37">
        <v>108267.958</v>
      </c>
      <c r="K9" s="37">
        <v>153117</v>
      </c>
      <c r="L9" s="37">
        <v>114014</v>
      </c>
      <c r="M9" s="1">
        <v>192564</v>
      </c>
      <c r="N9" s="1">
        <v>92194</v>
      </c>
      <c r="O9" s="1">
        <v>149058</v>
      </c>
      <c r="P9" s="1">
        <v>136348</v>
      </c>
      <c r="Q9" s="1">
        <v>132841</v>
      </c>
      <c r="R9" s="1">
        <v>101113</v>
      </c>
      <c r="S9" s="1">
        <v>99359</v>
      </c>
      <c r="T9" s="1">
        <v>95395.644283121597</v>
      </c>
      <c r="U9" s="1">
        <v>85086.206896551725</v>
      </c>
      <c r="V9" s="1">
        <v>135032.66787658804</v>
      </c>
      <c r="W9" s="1">
        <v>85657.894736842107</v>
      </c>
      <c r="X9" s="29">
        <v>101855.71687840291</v>
      </c>
      <c r="AB9" s="1"/>
      <c r="AC9" s="1"/>
    </row>
    <row r="10" spans="1:29" x14ac:dyDescent="0.25">
      <c r="A10" s="20" t="s">
        <v>171</v>
      </c>
      <c r="B10" s="27">
        <f t="shared" si="0"/>
        <v>0.33154465167368891</v>
      </c>
      <c r="C10" s="106">
        <v>-23360.207542827542</v>
      </c>
      <c r="D10" s="1">
        <v>-26752.959629226592</v>
      </c>
      <c r="E10" s="91">
        <v>120688.88405802227</v>
      </c>
      <c r="F10" s="1">
        <v>90638.255282180762</v>
      </c>
      <c r="G10" s="1">
        <v>171123.32526263897</v>
      </c>
      <c r="H10" s="37">
        <v>86713.354977590876</v>
      </c>
      <c r="I10" s="37">
        <v>111545.4599020272</v>
      </c>
      <c r="J10" s="37">
        <v>108575.79300000001</v>
      </c>
      <c r="K10" s="37">
        <v>85677</v>
      </c>
      <c r="L10" s="37">
        <v>70546</v>
      </c>
      <c r="M10" s="1">
        <v>64505</v>
      </c>
      <c r="N10" s="1">
        <v>27784</v>
      </c>
      <c r="O10" s="1">
        <v>30852</v>
      </c>
      <c r="P10" s="1">
        <v>12749</v>
      </c>
      <c r="Q10" s="1">
        <v>6250</v>
      </c>
      <c r="R10" s="1">
        <v>667</v>
      </c>
      <c r="S10" s="1"/>
      <c r="T10" s="1"/>
      <c r="U10" s="1"/>
      <c r="V10" s="1"/>
      <c r="W10" s="1"/>
      <c r="X10" s="29"/>
      <c r="AB10" s="1"/>
      <c r="AC10" s="1"/>
    </row>
    <row r="11" spans="1:29" x14ac:dyDescent="0.25">
      <c r="A11" s="21" t="s">
        <v>10</v>
      </c>
      <c r="B11" s="27">
        <f t="shared" si="0"/>
        <v>0.73885535597411101</v>
      </c>
      <c r="C11" s="106">
        <v>-108.30425018490001</v>
      </c>
      <c r="D11" s="1">
        <v>-1352.5743455809197</v>
      </c>
      <c r="E11" s="91">
        <v>455.52558068093998</v>
      </c>
      <c r="F11" s="1">
        <v>261.96864455453999</v>
      </c>
      <c r="G11" s="1">
        <v>1467.64165800252</v>
      </c>
      <c r="H11" s="37">
        <v>1536.24387522606</v>
      </c>
      <c r="I11" s="37">
        <v>914.7661433735999</v>
      </c>
      <c r="J11" s="37">
        <v>1587.8440000000001</v>
      </c>
      <c r="K11" s="37">
        <v>1448</v>
      </c>
      <c r="L11" s="37">
        <v>858</v>
      </c>
      <c r="M11" s="1">
        <v>1201</v>
      </c>
      <c r="N11" s="70">
        <v>1810</v>
      </c>
      <c r="O11" s="70">
        <v>1563</v>
      </c>
      <c r="P11" s="70">
        <v>2782</v>
      </c>
      <c r="Q11" s="70">
        <v>5488</v>
      </c>
      <c r="R11" s="70">
        <v>534</v>
      </c>
      <c r="S11" s="70">
        <v>3449</v>
      </c>
      <c r="T11" s="70">
        <v>609.80036297640652</v>
      </c>
      <c r="U11" s="70">
        <v>3868.4210526315787</v>
      </c>
      <c r="V11" s="70">
        <v>4535.3901996370232</v>
      </c>
      <c r="W11" s="1">
        <v>3144.2831215970964</v>
      </c>
      <c r="X11" s="29">
        <v>3182.3956442831218</v>
      </c>
      <c r="AB11" s="1"/>
      <c r="AC11" s="1"/>
    </row>
    <row r="12" spans="1:29" x14ac:dyDescent="0.25">
      <c r="A12" s="21" t="s">
        <v>26</v>
      </c>
      <c r="B12" s="27" t="str">
        <f t="shared" si="0"/>
        <v/>
      </c>
      <c r="C12" s="106">
        <v>0</v>
      </c>
      <c r="D12" s="1">
        <v>0</v>
      </c>
      <c r="E12" s="91"/>
      <c r="F12" s="37"/>
      <c r="G12" s="37"/>
      <c r="H12" s="37"/>
      <c r="I12" s="37"/>
      <c r="J12" s="37"/>
      <c r="K12" s="37"/>
      <c r="L12" s="37">
        <v>4840</v>
      </c>
      <c r="M12" s="1">
        <v>4593</v>
      </c>
      <c r="N12" s="70">
        <v>6022</v>
      </c>
      <c r="O12" s="70">
        <v>3335</v>
      </c>
      <c r="P12" s="70">
        <v>9890</v>
      </c>
      <c r="Q12" s="70">
        <v>9338</v>
      </c>
      <c r="R12" s="70">
        <v>4593</v>
      </c>
      <c r="S12" s="70">
        <v>5164</v>
      </c>
      <c r="T12" s="70">
        <v>6040.8348457350276</v>
      </c>
      <c r="U12" s="70">
        <v>5240.471869328494</v>
      </c>
      <c r="V12" s="70">
        <v>4649.7277676950998</v>
      </c>
      <c r="W12" s="1">
        <v>2305.807622504537</v>
      </c>
      <c r="X12" s="29">
        <v>3144.2831215970964</v>
      </c>
      <c r="AB12" s="1"/>
      <c r="AC12" s="1"/>
    </row>
    <row r="13" spans="1:29" x14ac:dyDescent="0.25">
      <c r="A13" s="21" t="s">
        <v>49</v>
      </c>
      <c r="B13" s="27">
        <f t="shared" si="0"/>
        <v>-0.24469396741523561</v>
      </c>
      <c r="C13" s="106">
        <v>-97.235689172159994</v>
      </c>
      <c r="D13" s="1">
        <v>-237.29775555024003</v>
      </c>
      <c r="E13" s="91">
        <v>326.77973674961999</v>
      </c>
      <c r="F13" s="1">
        <v>432.6454743534</v>
      </c>
      <c r="G13" s="1">
        <v>857.82300392712</v>
      </c>
      <c r="H13" s="37">
        <v>808.97654878655999</v>
      </c>
      <c r="I13" s="37">
        <v>527.59509287519995</v>
      </c>
      <c r="J13" s="37">
        <v>739.13499999999999</v>
      </c>
      <c r="K13" s="37">
        <v>1772</v>
      </c>
      <c r="L13" s="37">
        <v>1696</v>
      </c>
      <c r="M13" s="1">
        <v>0</v>
      </c>
      <c r="N13" s="70">
        <v>229</v>
      </c>
      <c r="O13" s="70">
        <v>1582</v>
      </c>
      <c r="P13" s="70">
        <v>1601</v>
      </c>
      <c r="Q13" s="70">
        <v>2401</v>
      </c>
      <c r="R13" s="70">
        <v>38</v>
      </c>
      <c r="S13" s="70">
        <v>2496</v>
      </c>
      <c r="T13" s="70">
        <v>876.58802177858445</v>
      </c>
      <c r="U13" s="70">
        <v>6117.0598911070783</v>
      </c>
      <c r="V13" s="70">
        <v>1295.8257713248638</v>
      </c>
      <c r="W13" s="1">
        <v>743.19419237749548</v>
      </c>
      <c r="X13" s="29">
        <v>1314.8820326678765</v>
      </c>
      <c r="AB13" s="1"/>
      <c r="AC13" s="1"/>
    </row>
    <row r="14" spans="1:29" x14ac:dyDescent="0.25">
      <c r="A14" s="21" t="s">
        <v>50</v>
      </c>
      <c r="B14" s="27">
        <f t="shared" si="0"/>
        <v>-0.42809030347890448</v>
      </c>
      <c r="C14" s="106">
        <v>-3697.5280572799793</v>
      </c>
      <c r="D14" s="1">
        <v>-3337.5807392512197</v>
      </c>
      <c r="E14" s="91">
        <v>5004.6851060375402</v>
      </c>
      <c r="F14" s="1">
        <v>8750.8310079036</v>
      </c>
      <c r="G14" s="1">
        <v>9467.0869259689789</v>
      </c>
      <c r="H14" s="37">
        <v>8146.4609053766399</v>
      </c>
      <c r="I14" s="37">
        <v>7773.6357069167998</v>
      </c>
      <c r="J14" s="37">
        <v>9554.2000000000007</v>
      </c>
      <c r="K14" s="37">
        <v>10672</v>
      </c>
      <c r="L14" s="37">
        <v>14368</v>
      </c>
      <c r="M14" s="1">
        <v>12444</v>
      </c>
      <c r="N14" s="70">
        <v>9204</v>
      </c>
      <c r="O14" s="70">
        <v>14769</v>
      </c>
      <c r="P14" s="70">
        <v>17799</v>
      </c>
      <c r="Q14" s="70">
        <v>18408</v>
      </c>
      <c r="R14" s="70">
        <v>2172</v>
      </c>
      <c r="S14" s="70">
        <v>9776</v>
      </c>
      <c r="T14" s="70">
        <v>7717.7858439201455</v>
      </c>
      <c r="U14" s="70">
        <v>20275.862068965518</v>
      </c>
      <c r="V14" s="70">
        <v>14101.633393829401</v>
      </c>
      <c r="W14" s="1">
        <v>12291.288566243195</v>
      </c>
      <c r="X14" s="29">
        <v>11891.107078039928</v>
      </c>
      <c r="AB14" s="1"/>
      <c r="AC14" s="1"/>
    </row>
    <row r="15" spans="1:29" x14ac:dyDescent="0.25">
      <c r="A15" s="21" t="s">
        <v>51</v>
      </c>
      <c r="B15" s="27">
        <f t="shared" si="0"/>
        <v>-9.7110374230222618E-2</v>
      </c>
      <c r="C15" s="106">
        <v>-32.881818086039999</v>
      </c>
      <c r="D15" s="1">
        <v>-713.96981252057992</v>
      </c>
      <c r="E15" s="91">
        <v>217.86585841944</v>
      </c>
      <c r="F15" s="1">
        <v>241.29844025364</v>
      </c>
      <c r="G15" s="1">
        <v>551.12289421265996</v>
      </c>
      <c r="H15" s="37">
        <v>452.28693115914001</v>
      </c>
      <c r="I15" s="37">
        <v>400.10659856159998</v>
      </c>
      <c r="J15" s="37">
        <v>524.10400000000004</v>
      </c>
      <c r="K15" s="37">
        <v>610</v>
      </c>
      <c r="L15" s="37">
        <v>991</v>
      </c>
      <c r="M15" s="1">
        <v>1525</v>
      </c>
      <c r="N15" s="70">
        <v>1067</v>
      </c>
      <c r="O15" s="70">
        <v>648</v>
      </c>
      <c r="P15" s="70">
        <v>762</v>
      </c>
      <c r="Q15" s="70">
        <v>1162</v>
      </c>
      <c r="R15" s="70">
        <v>819</v>
      </c>
      <c r="S15" s="70">
        <v>2344</v>
      </c>
      <c r="T15" s="70">
        <v>2134.301270417423</v>
      </c>
      <c r="U15" s="70">
        <v>2362.9764065335753</v>
      </c>
      <c r="V15" s="70">
        <v>2763.1578947368421</v>
      </c>
      <c r="W15" s="1">
        <v>3887.4773139745917</v>
      </c>
      <c r="X15" s="29">
        <v>2115.2450090744101</v>
      </c>
      <c r="AB15" s="1"/>
      <c r="AC15" s="1"/>
    </row>
    <row r="16" spans="1:29" x14ac:dyDescent="0.25">
      <c r="A16" s="21" t="s">
        <v>52</v>
      </c>
      <c r="B16" s="27">
        <f t="shared" si="0"/>
        <v>-0.18046678287817167</v>
      </c>
      <c r="C16" s="106">
        <v>-81.899731142459984</v>
      </c>
      <c r="D16" s="1">
        <v>-88.948556572259974</v>
      </c>
      <c r="E16" s="91">
        <v>322.43613621449998</v>
      </c>
      <c r="F16" s="1">
        <v>393.43876426008001</v>
      </c>
      <c r="G16" s="1">
        <v>554.38059461399996</v>
      </c>
      <c r="H16" s="37">
        <v>439.99911385583999</v>
      </c>
      <c r="I16" s="37">
        <v>624.39261821999992</v>
      </c>
      <c r="J16" s="37">
        <v>515.68100000000004</v>
      </c>
      <c r="K16" s="37">
        <v>267</v>
      </c>
      <c r="L16" s="37">
        <v>324</v>
      </c>
      <c r="M16" s="1">
        <v>0</v>
      </c>
      <c r="N16" s="70">
        <v>0</v>
      </c>
      <c r="O16" s="70">
        <v>0</v>
      </c>
      <c r="P16" s="70">
        <v>0</v>
      </c>
      <c r="Q16" s="70">
        <v>0</v>
      </c>
      <c r="R16" s="70">
        <v>400</v>
      </c>
      <c r="S16" s="70">
        <v>591</v>
      </c>
      <c r="T16" s="70">
        <v>1372.0508166969148</v>
      </c>
      <c r="U16" s="70">
        <v>0</v>
      </c>
      <c r="V16" s="70">
        <v>2210.5263157894738</v>
      </c>
      <c r="W16" s="1">
        <v>171.50635208711435</v>
      </c>
      <c r="X16" s="29">
        <v>57.168784029038115</v>
      </c>
      <c r="AB16" s="1"/>
      <c r="AC16" s="1"/>
    </row>
    <row r="17" spans="1:29" x14ac:dyDescent="0.25">
      <c r="A17" s="21" t="s">
        <v>53</v>
      </c>
      <c r="B17" s="27" t="str">
        <f t="shared" si="0"/>
        <v/>
      </c>
      <c r="C17" s="106">
        <v>0</v>
      </c>
      <c r="D17" s="1">
        <v>0</v>
      </c>
      <c r="E17" s="91"/>
      <c r="F17" s="37"/>
      <c r="G17" s="37"/>
      <c r="H17" s="37"/>
      <c r="I17" s="37"/>
      <c r="J17" s="37"/>
      <c r="K17" s="37"/>
      <c r="L17" s="37"/>
      <c r="M17" s="1">
        <v>0</v>
      </c>
      <c r="N17" s="70">
        <v>0</v>
      </c>
      <c r="O17" s="70">
        <v>0</v>
      </c>
      <c r="P17" s="70">
        <v>0</v>
      </c>
      <c r="Q17" s="70">
        <v>305</v>
      </c>
      <c r="R17" s="70">
        <v>19</v>
      </c>
      <c r="S17" s="70">
        <v>0</v>
      </c>
      <c r="T17" s="70">
        <v>0</v>
      </c>
      <c r="U17" s="70">
        <v>38.112522686025407</v>
      </c>
      <c r="V17" s="70">
        <v>0</v>
      </c>
      <c r="W17" s="1">
        <v>38.112522686025407</v>
      </c>
      <c r="X17" s="29">
        <v>38.112522686025407</v>
      </c>
      <c r="AB17" s="1"/>
      <c r="AC17" s="1"/>
    </row>
    <row r="18" spans="1:29" x14ac:dyDescent="0.25">
      <c r="A18" s="20" t="s">
        <v>60</v>
      </c>
      <c r="B18" s="27">
        <f t="shared" si="0"/>
        <v>-0.15689358033767711</v>
      </c>
      <c r="C18" s="106">
        <v>-17940.441873372489</v>
      </c>
      <c r="D18" s="1">
        <v>-22075.149514336372</v>
      </c>
      <c r="E18" s="91">
        <v>110766.76687424039</v>
      </c>
      <c r="F18" s="1">
        <v>131379.34226453191</v>
      </c>
      <c r="G18" s="1">
        <v>93423.836786760483</v>
      </c>
      <c r="H18" s="37">
        <v>73391.989357486804</v>
      </c>
      <c r="I18" s="37">
        <v>86047.094258479192</v>
      </c>
      <c r="J18" s="37">
        <v>69373.404999999999</v>
      </c>
      <c r="K18" s="37">
        <v>56064</v>
      </c>
      <c r="L18" s="37">
        <v>56788</v>
      </c>
      <c r="M18" s="1">
        <v>48841</v>
      </c>
      <c r="N18" s="1">
        <v>55930</v>
      </c>
      <c r="O18" s="1">
        <v>45468</v>
      </c>
      <c r="P18" s="1">
        <v>36417</v>
      </c>
      <c r="Q18" s="1">
        <v>26202</v>
      </c>
      <c r="R18" s="1">
        <v>25307</v>
      </c>
      <c r="S18" s="1">
        <v>19876</v>
      </c>
      <c r="T18" s="1">
        <v>22829.401088929219</v>
      </c>
      <c r="U18" s="1">
        <v>24868.42105263158</v>
      </c>
      <c r="V18" s="1">
        <v>18179.673321234121</v>
      </c>
      <c r="W18" s="1">
        <v>18789.473684210527</v>
      </c>
      <c r="X18" s="29">
        <v>7355.7168784029036</v>
      </c>
      <c r="AB18" s="1"/>
      <c r="AC18" s="1"/>
    </row>
    <row r="19" spans="1:29" x14ac:dyDescent="0.25">
      <c r="A19" s="21" t="s">
        <v>19</v>
      </c>
      <c r="B19" s="27">
        <f t="shared" si="0"/>
        <v>-0.23675395727504148</v>
      </c>
      <c r="C19" s="106">
        <v>-28368.340858061798</v>
      </c>
      <c r="D19" s="1">
        <v>-40435.091755179659</v>
      </c>
      <c r="E19" s="91">
        <v>156920.57070061681</v>
      </c>
      <c r="F19" s="1">
        <v>205596.31090961886</v>
      </c>
      <c r="G19" s="1">
        <v>224438.39280986044</v>
      </c>
      <c r="H19" s="37">
        <v>168714.15103601056</v>
      </c>
      <c r="I19" s="37">
        <v>196256.5158900024</v>
      </c>
      <c r="J19" s="37">
        <v>221327.671</v>
      </c>
      <c r="K19" s="37">
        <v>260461</v>
      </c>
      <c r="L19" s="37">
        <v>285996</v>
      </c>
      <c r="M19" s="1">
        <v>298383</v>
      </c>
      <c r="N19" s="70">
        <v>385946</v>
      </c>
      <c r="O19" s="70">
        <v>278431</v>
      </c>
      <c r="P19" s="70">
        <v>445383</v>
      </c>
      <c r="Q19" s="70">
        <v>332589</v>
      </c>
      <c r="R19" s="70">
        <v>382383</v>
      </c>
      <c r="S19" s="70">
        <v>333713</v>
      </c>
      <c r="T19" s="70">
        <v>293142.46823956445</v>
      </c>
      <c r="U19" s="70">
        <v>334227.76769509981</v>
      </c>
      <c r="V19" s="70">
        <v>341354.80943738658</v>
      </c>
      <c r="W19" s="1">
        <v>275134.3012704174</v>
      </c>
      <c r="X19" s="29">
        <v>313437.38656987296</v>
      </c>
      <c r="AB19" s="1"/>
      <c r="AC19" s="1"/>
    </row>
    <row r="20" spans="1:29" x14ac:dyDescent="0.25">
      <c r="A20" s="21" t="s">
        <v>54</v>
      </c>
      <c r="B20" s="27">
        <f t="shared" si="0"/>
        <v>-0.38629437074220141</v>
      </c>
      <c r="C20" s="106">
        <v>-128.09811402695993</v>
      </c>
      <c r="D20" s="1">
        <v>-1245.4321990479598</v>
      </c>
      <c r="E20" s="91">
        <v>521.72738708244003</v>
      </c>
      <c r="F20" s="1">
        <v>850.12644859295995</v>
      </c>
      <c r="G20" s="1">
        <v>1787.2011114064799</v>
      </c>
      <c r="H20" s="37">
        <v>2526.6610007515801</v>
      </c>
      <c r="I20" s="37">
        <v>2055.7043436047998</v>
      </c>
      <c r="J20" s="37">
        <v>1472.82</v>
      </c>
      <c r="K20" s="37">
        <v>2801</v>
      </c>
      <c r="L20" s="37">
        <v>3506</v>
      </c>
      <c r="M20" s="1">
        <v>3468</v>
      </c>
      <c r="N20" s="70">
        <v>5031</v>
      </c>
      <c r="O20" s="70">
        <v>3525</v>
      </c>
      <c r="P20" s="70">
        <v>4326</v>
      </c>
      <c r="Q20" s="70">
        <v>2801</v>
      </c>
      <c r="R20" s="70">
        <v>2211</v>
      </c>
      <c r="S20" s="70">
        <v>4554</v>
      </c>
      <c r="T20" s="70">
        <v>1448.2758620689656</v>
      </c>
      <c r="U20" s="70">
        <v>3773.1397459165155</v>
      </c>
      <c r="V20" s="70">
        <v>5126.1343012704174</v>
      </c>
      <c r="W20" s="1">
        <v>5659.7096188747728</v>
      </c>
      <c r="X20" s="29">
        <v>5450.0907441016334</v>
      </c>
      <c r="AB20" s="1"/>
      <c r="AC20" s="1"/>
    </row>
    <row r="21" spans="1:29" x14ac:dyDescent="0.25">
      <c r="A21" s="21" t="s">
        <v>55</v>
      </c>
      <c r="B21" s="27">
        <f t="shared" si="0"/>
        <v>-0.54610707400266945</v>
      </c>
      <c r="C21" s="106">
        <v>-11.259069808139998</v>
      </c>
      <c r="D21" s="1">
        <v>-12.211613785140003</v>
      </c>
      <c r="E21" s="91">
        <v>291.53560960061998</v>
      </c>
      <c r="F21" s="1">
        <v>642.30040369109997</v>
      </c>
      <c r="G21" s="1">
        <v>394.39130823708001</v>
      </c>
      <c r="H21" s="37">
        <v>335.21927638583998</v>
      </c>
      <c r="I21" s="37">
        <v>120.0586508016</v>
      </c>
      <c r="J21" s="37">
        <v>54.158000000000001</v>
      </c>
      <c r="K21" s="37">
        <v>572</v>
      </c>
      <c r="L21" s="37">
        <v>267</v>
      </c>
      <c r="M21" s="1">
        <v>229</v>
      </c>
      <c r="N21" s="70">
        <v>2725</v>
      </c>
      <c r="O21" s="70">
        <v>1563</v>
      </c>
      <c r="P21" s="70">
        <v>1677</v>
      </c>
      <c r="Q21" s="70">
        <v>3544</v>
      </c>
      <c r="R21" s="70">
        <v>229</v>
      </c>
      <c r="S21" s="70">
        <v>3544</v>
      </c>
      <c r="T21" s="70">
        <v>1791.2885662431943</v>
      </c>
      <c r="U21" s="70">
        <v>3620.6896551724139</v>
      </c>
      <c r="V21" s="70">
        <v>3372.9582577132487</v>
      </c>
      <c r="W21" s="1">
        <v>2324.8638838475499</v>
      </c>
      <c r="X21" s="29">
        <v>5011.7967332123408</v>
      </c>
      <c r="AB21" s="1"/>
      <c r="AC21" s="1"/>
    </row>
    <row r="22" spans="1:29" x14ac:dyDescent="0.25">
      <c r="A22" s="21" t="s">
        <v>34</v>
      </c>
      <c r="B22" s="27">
        <f t="shared" si="0"/>
        <v>-0.18763737496075009</v>
      </c>
      <c r="C22" s="106">
        <v>-226.49590685106</v>
      </c>
      <c r="D22" s="1">
        <v>-530.20502847774014</v>
      </c>
      <c r="E22" s="91">
        <v>1380.0457138775998</v>
      </c>
      <c r="F22" s="1">
        <v>1698.80503034088</v>
      </c>
      <c r="G22" s="1">
        <v>2990.2451034779397</v>
      </c>
      <c r="H22" s="37">
        <v>1790.82077851908</v>
      </c>
      <c r="I22" s="37">
        <v>2065.9537174751999</v>
      </c>
      <c r="J22" s="37">
        <v>1062.1959999999999</v>
      </c>
      <c r="K22" s="37">
        <v>591</v>
      </c>
      <c r="L22" s="37">
        <v>2039</v>
      </c>
      <c r="M22" s="1">
        <v>2172</v>
      </c>
      <c r="N22" s="70">
        <v>858</v>
      </c>
      <c r="O22" s="70">
        <v>2554</v>
      </c>
      <c r="P22" s="70">
        <v>2630</v>
      </c>
      <c r="Q22" s="70">
        <v>1791</v>
      </c>
      <c r="R22" s="70">
        <v>229</v>
      </c>
      <c r="S22" s="70">
        <v>991</v>
      </c>
      <c r="T22" s="70">
        <v>1867.5136116152451</v>
      </c>
      <c r="U22" s="70">
        <v>3182.3956442831218</v>
      </c>
      <c r="V22" s="70">
        <v>2305.807622504537</v>
      </c>
      <c r="W22" s="1">
        <v>1657.8947368421052</v>
      </c>
      <c r="X22" s="29">
        <v>2877.4954627949182</v>
      </c>
      <c r="AB22" s="1"/>
      <c r="AC22" s="1"/>
    </row>
    <row r="23" spans="1:29" x14ac:dyDescent="0.25">
      <c r="A23" s="21" t="s">
        <v>21</v>
      </c>
      <c r="B23" s="27">
        <f t="shared" si="0"/>
        <v>-0.32102161100196469</v>
      </c>
      <c r="C23" s="106">
        <v>-24.556583727060001</v>
      </c>
      <c r="D23" s="1">
        <v>-5.3913989098199977</v>
      </c>
      <c r="E23" s="91">
        <v>98.75975953535999</v>
      </c>
      <c r="F23" s="1">
        <v>145.4534652879</v>
      </c>
      <c r="G23" s="1">
        <v>117.14385829145999</v>
      </c>
      <c r="H23" s="37">
        <v>116.24846695308</v>
      </c>
      <c r="I23" s="37">
        <v>113.4289442832</v>
      </c>
      <c r="J23" s="37">
        <v>98.54</v>
      </c>
      <c r="K23" s="37">
        <v>76</v>
      </c>
      <c r="L23" s="37">
        <v>210</v>
      </c>
      <c r="M23" s="1">
        <v>229</v>
      </c>
      <c r="N23" s="70">
        <v>133</v>
      </c>
      <c r="O23" s="70">
        <v>286</v>
      </c>
      <c r="P23" s="70">
        <v>419</v>
      </c>
      <c r="Q23" s="70">
        <v>38</v>
      </c>
      <c r="R23" s="70">
        <v>152</v>
      </c>
      <c r="S23" s="70">
        <v>267</v>
      </c>
      <c r="T23" s="70">
        <v>304.90018148820326</v>
      </c>
      <c r="U23" s="70">
        <v>533.57531760435575</v>
      </c>
      <c r="V23" s="70">
        <v>438.29401088929222</v>
      </c>
      <c r="W23" s="1">
        <v>724.13793103448279</v>
      </c>
      <c r="X23" s="29">
        <v>590.74410163339383</v>
      </c>
      <c r="AB23" s="1"/>
      <c r="AC23" s="1"/>
    </row>
    <row r="24" spans="1:29" x14ac:dyDescent="0.25">
      <c r="A24" s="21" t="s">
        <v>56</v>
      </c>
      <c r="B24" s="27" t="str">
        <f t="shared" si="0"/>
        <v/>
      </c>
      <c r="C24" s="106">
        <v>0</v>
      </c>
      <c r="D24" s="1">
        <v>0</v>
      </c>
      <c r="E24" s="91"/>
      <c r="F24" s="37"/>
      <c r="G24" s="37"/>
      <c r="H24" s="37"/>
      <c r="I24" s="37"/>
      <c r="J24" s="37"/>
      <c r="K24" s="37"/>
      <c r="L24" s="37"/>
      <c r="M24" s="1">
        <v>0</v>
      </c>
      <c r="N24" s="70">
        <v>0</v>
      </c>
      <c r="O24" s="70">
        <v>0</v>
      </c>
      <c r="P24" s="70">
        <v>0</v>
      </c>
      <c r="Q24" s="70">
        <v>0</v>
      </c>
      <c r="R24" s="70">
        <v>0</v>
      </c>
      <c r="S24" s="70">
        <v>0</v>
      </c>
      <c r="T24" s="70">
        <v>0</v>
      </c>
      <c r="U24" s="70">
        <v>0</v>
      </c>
      <c r="V24" s="70">
        <v>76.225045372050815</v>
      </c>
      <c r="W24" s="1">
        <v>0</v>
      </c>
      <c r="X24" s="29">
        <v>19.056261343012704</v>
      </c>
      <c r="AB24" s="1"/>
      <c r="AC24" s="1"/>
    </row>
    <row r="25" spans="1:29" x14ac:dyDescent="0.25">
      <c r="A25" s="21" t="s">
        <v>57</v>
      </c>
      <c r="B25" s="27">
        <f t="shared" si="0"/>
        <v>-0.1617172917020194</v>
      </c>
      <c r="C25" s="106">
        <v>-116.83904421881994</v>
      </c>
      <c r="D25" s="1">
        <v>-126.89790861593997</v>
      </c>
      <c r="E25" s="91">
        <v>470.55672463799999</v>
      </c>
      <c r="F25" s="1">
        <v>561.33416564610002</v>
      </c>
      <c r="G25" s="1">
        <v>570.36428254806003</v>
      </c>
      <c r="H25" s="37">
        <v>437.23673632253997</v>
      </c>
      <c r="I25" s="37">
        <v>482.8255229952</v>
      </c>
      <c r="J25" s="37">
        <v>533.93700000000001</v>
      </c>
      <c r="K25" s="37">
        <v>133</v>
      </c>
      <c r="L25" s="37">
        <v>362</v>
      </c>
      <c r="M25" s="1">
        <v>19</v>
      </c>
      <c r="N25" s="70">
        <v>57</v>
      </c>
      <c r="O25" s="70">
        <v>57</v>
      </c>
      <c r="P25" s="70">
        <v>57</v>
      </c>
      <c r="Q25" s="70">
        <v>0</v>
      </c>
      <c r="R25" s="70">
        <v>95</v>
      </c>
      <c r="S25" s="70">
        <v>191</v>
      </c>
      <c r="T25" s="70">
        <v>228.67513611615246</v>
      </c>
      <c r="U25" s="70">
        <v>19.056261343012704</v>
      </c>
      <c r="V25" s="70">
        <v>57.168784029038115</v>
      </c>
      <c r="W25" s="1">
        <v>19.056261343012704</v>
      </c>
      <c r="X25" s="29">
        <v>38.112522686025407</v>
      </c>
      <c r="AB25" s="1"/>
      <c r="AC25" s="1"/>
    </row>
    <row r="26" spans="1:29" ht="13.8" thickBot="1" x14ac:dyDescent="0.3">
      <c r="A26" s="21" t="s">
        <v>58</v>
      </c>
      <c r="B26" s="27">
        <f t="shared" si="0"/>
        <v>-0.19531949943014154</v>
      </c>
      <c r="C26" s="106">
        <v>-29693.558140623296</v>
      </c>
      <c r="D26" s="1">
        <v>-26222.640295471618</v>
      </c>
      <c r="E26" s="91">
        <v>105640.99437784663</v>
      </c>
      <c r="F26" s="64">
        <v>131283.15437373443</v>
      </c>
      <c r="G26" s="64">
        <v>132591.30206822808</v>
      </c>
      <c r="H26" s="64">
        <v>88231.233804940377</v>
      </c>
      <c r="I26" s="64">
        <v>79615.821714492005</v>
      </c>
      <c r="J26" s="64">
        <f>51247.966+12649</f>
        <v>63896.966</v>
      </c>
      <c r="K26" s="64">
        <f>(13930+58026)</f>
        <v>71956</v>
      </c>
      <c r="L26" s="64">
        <f>39332+9376</f>
        <v>48708</v>
      </c>
      <c r="M26" s="10">
        <v>107325</v>
      </c>
      <c r="N26" s="71">
        <v>60466</v>
      </c>
      <c r="O26" s="71">
        <v>52652</v>
      </c>
      <c r="P26" s="71">
        <v>47564</v>
      </c>
      <c r="Q26" s="71">
        <v>36721</v>
      </c>
      <c r="R26" s="71">
        <v>22925</v>
      </c>
      <c r="S26" s="71">
        <v>14140</v>
      </c>
      <c r="T26" s="71">
        <v>15187.840290381126</v>
      </c>
      <c r="U26" s="71">
        <v>17341.197822141559</v>
      </c>
      <c r="V26" s="71">
        <v>19170.598911070781</v>
      </c>
      <c r="W26" s="10">
        <v>11662.431941923775</v>
      </c>
      <c r="X26" s="31">
        <v>14196.914700544465</v>
      </c>
      <c r="AB26" s="1"/>
      <c r="AC26" s="1"/>
    </row>
    <row r="27" spans="1:29" ht="13.8" thickBot="1" x14ac:dyDescent="0.3">
      <c r="A27" s="23" t="s">
        <v>22</v>
      </c>
      <c r="B27" s="111">
        <f t="shared" si="0"/>
        <v>-9.3878287066331279E-2</v>
      </c>
      <c r="C27" s="109">
        <v>-246976.26913734362</v>
      </c>
      <c r="D27" s="43">
        <v>-271234.30653113313</v>
      </c>
      <c r="E27" s="113">
        <f>SUM(E2:E26)</f>
        <v>1144788.9743068779</v>
      </c>
      <c r="F27" s="34">
        <f>SUM(F2:F26)</f>
        <v>1263394.2636696098</v>
      </c>
      <c r="G27" s="34">
        <f>SUM(G2:G26)</f>
        <v>1300963.607819106</v>
      </c>
      <c r="H27" s="34">
        <f>SUM(H2:H26)</f>
        <v>955308.46918092866</v>
      </c>
      <c r="I27" s="34">
        <f>SUM(I2:I26)</f>
        <v>1014539.4544011216</v>
      </c>
      <c r="J27" s="34">
        <f t="shared" ref="J27:P27" si="1">SUM(J2:J26)</f>
        <v>976088.96200000006</v>
      </c>
      <c r="K27" s="34">
        <f t="shared" si="1"/>
        <v>1119631</v>
      </c>
      <c r="L27" s="34">
        <f t="shared" si="1"/>
        <v>975375</v>
      </c>
      <c r="M27" s="34">
        <f t="shared" si="1"/>
        <v>1168418</v>
      </c>
      <c r="N27" s="34">
        <f t="shared" si="1"/>
        <v>1010877</v>
      </c>
      <c r="O27" s="34">
        <f t="shared" si="1"/>
        <v>896160</v>
      </c>
      <c r="P27" s="34">
        <f t="shared" si="1"/>
        <v>1164834</v>
      </c>
      <c r="Q27" s="34">
        <f t="shared" ref="Q27:X27" si="2">SUM(Q2:Q26)</f>
        <v>917098</v>
      </c>
      <c r="R27" s="34">
        <f t="shared" si="2"/>
        <v>946392</v>
      </c>
      <c r="S27" s="34">
        <f t="shared" si="2"/>
        <v>806040</v>
      </c>
      <c r="T27" s="34">
        <f t="shared" si="2"/>
        <v>786756.8058076225</v>
      </c>
      <c r="U27" s="34">
        <f t="shared" si="2"/>
        <v>808099.81851179677</v>
      </c>
      <c r="V27" s="34">
        <f t="shared" si="2"/>
        <v>919235.93466424686</v>
      </c>
      <c r="W27" s="34">
        <f t="shared" si="2"/>
        <v>686406.53357531771</v>
      </c>
      <c r="X27" s="35">
        <f t="shared" si="2"/>
        <v>689989.11070780398</v>
      </c>
    </row>
    <row r="28" spans="1:29" x14ac:dyDescent="0.25"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</row>
    <row r="29" spans="1:29" ht="13.8" thickBot="1" x14ac:dyDescent="0.3"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</row>
    <row r="30" spans="1:29" ht="13.8" thickBot="1" x14ac:dyDescent="0.3">
      <c r="A30" s="23" t="s">
        <v>24</v>
      </c>
      <c r="B30" s="24" t="s">
        <v>169</v>
      </c>
      <c r="C30" s="114" t="s">
        <v>178</v>
      </c>
      <c r="D30" s="69" t="s">
        <v>170</v>
      </c>
      <c r="E30" s="116">
        <v>46113</v>
      </c>
      <c r="F30" s="99">
        <v>45748</v>
      </c>
      <c r="G30" s="99">
        <v>45383</v>
      </c>
      <c r="H30" s="99">
        <v>45017</v>
      </c>
      <c r="I30" s="99">
        <v>44652</v>
      </c>
      <c r="J30" s="99">
        <v>44287</v>
      </c>
      <c r="K30" s="99">
        <v>43922</v>
      </c>
      <c r="L30" s="99">
        <v>43556</v>
      </c>
      <c r="M30" s="99">
        <v>43191</v>
      </c>
      <c r="N30" s="25">
        <v>42826</v>
      </c>
      <c r="O30" s="25">
        <v>42461</v>
      </c>
      <c r="P30" s="25">
        <v>42095</v>
      </c>
      <c r="Q30" s="25">
        <v>41730</v>
      </c>
      <c r="R30" s="25">
        <v>41365</v>
      </c>
      <c r="S30" s="25">
        <v>41000</v>
      </c>
      <c r="T30" s="25">
        <v>40634</v>
      </c>
      <c r="U30" s="25">
        <v>40269</v>
      </c>
      <c r="V30" s="25">
        <v>39904</v>
      </c>
      <c r="W30" s="25">
        <v>39539</v>
      </c>
      <c r="X30" s="26">
        <v>39173</v>
      </c>
    </row>
    <row r="31" spans="1:29" x14ac:dyDescent="0.25">
      <c r="A31" s="20" t="s">
        <v>40</v>
      </c>
      <c r="B31" s="27">
        <f t="shared" ref="B31:B41" si="3">IFERROR(((E31-F31)/F31),"")</f>
        <v>0.7501098904136857</v>
      </c>
      <c r="C31" s="106">
        <v>-16940.980000000003</v>
      </c>
      <c r="D31" s="1">
        <v>-10801.5</v>
      </c>
      <c r="E31" s="91">
        <v>50644.54</v>
      </c>
      <c r="F31" s="37">
        <v>28937.919999999998</v>
      </c>
      <c r="G31" s="37">
        <v>29661.02</v>
      </c>
      <c r="H31" s="37">
        <v>44139.08</v>
      </c>
      <c r="I31" s="37">
        <v>51702.66</v>
      </c>
      <c r="J31" s="37">
        <v>40935.800000000003</v>
      </c>
      <c r="K31" s="37">
        <v>53752.56</v>
      </c>
      <c r="L31" s="37">
        <v>55255</v>
      </c>
      <c r="M31" s="1">
        <v>50746.32</v>
      </c>
      <c r="N31" s="1">
        <v>45305.42</v>
      </c>
      <c r="O31" s="1">
        <v>39072.839999999997</v>
      </c>
      <c r="P31" s="1">
        <v>64343.18</v>
      </c>
      <c r="Q31" s="1">
        <v>57674.68</v>
      </c>
      <c r="R31" s="1">
        <v>51093.88</v>
      </c>
      <c r="S31" s="1">
        <v>66380.479999999996</v>
      </c>
      <c r="T31" s="1">
        <v>59116.160000000003</v>
      </c>
      <c r="U31" s="1">
        <v>56464.34</v>
      </c>
      <c r="V31" s="1">
        <v>43632.4</v>
      </c>
      <c r="W31" s="1">
        <v>50935.24</v>
      </c>
      <c r="X31" s="29">
        <v>30827.599999999999</v>
      </c>
    </row>
    <row r="32" spans="1:29" x14ac:dyDescent="0.25">
      <c r="A32" s="20" t="s">
        <v>41</v>
      </c>
      <c r="B32" s="27">
        <f t="shared" si="3"/>
        <v>175.90084388185656</v>
      </c>
      <c r="C32" s="106">
        <v>-6125.4599999999991</v>
      </c>
      <c r="D32" s="1">
        <v>-1263.6200000000001</v>
      </c>
      <c r="E32" s="91">
        <v>16770.2</v>
      </c>
      <c r="F32" s="37">
        <v>94.8</v>
      </c>
      <c r="G32" s="37">
        <v>6624.5</v>
      </c>
      <c r="H32" s="37">
        <v>2357.2600000000002</v>
      </c>
      <c r="I32" s="37">
        <v>4793.22</v>
      </c>
      <c r="J32" s="37">
        <v>5709</v>
      </c>
      <c r="K32" s="37">
        <v>3253.34</v>
      </c>
      <c r="L32" s="37">
        <v>10086</v>
      </c>
      <c r="M32" s="1">
        <v>1915.32</v>
      </c>
      <c r="N32" s="1">
        <v>7533.16</v>
      </c>
      <c r="O32" s="1">
        <v>6274.02</v>
      </c>
      <c r="P32" s="1">
        <v>5956.06</v>
      </c>
      <c r="Q32" s="1">
        <v>6974.92</v>
      </c>
      <c r="R32" s="1">
        <v>1595.36</v>
      </c>
      <c r="S32" s="1">
        <v>10983.28</v>
      </c>
      <c r="T32" s="1">
        <v>1298.8800000000001</v>
      </c>
      <c r="U32" s="1">
        <v>2212.5</v>
      </c>
      <c r="V32" s="1">
        <v>5489.88</v>
      </c>
      <c r="W32" s="1">
        <v>1641.96</v>
      </c>
      <c r="X32" s="29">
        <v>634.94000000000005</v>
      </c>
    </row>
    <row r="33" spans="1:25" x14ac:dyDescent="0.25">
      <c r="A33" s="20" t="s">
        <v>42</v>
      </c>
      <c r="B33" s="27">
        <f t="shared" si="3"/>
        <v>0.75449858055163543</v>
      </c>
      <c r="C33" s="106">
        <v>-1545.5</v>
      </c>
      <c r="D33" s="1">
        <v>-1591.46</v>
      </c>
      <c r="E33" s="91">
        <v>6390.34</v>
      </c>
      <c r="F33" s="37">
        <v>3642.26</v>
      </c>
      <c r="G33" s="37">
        <v>9407.08</v>
      </c>
      <c r="H33" s="37">
        <v>4536.16</v>
      </c>
      <c r="I33" s="37">
        <v>6187.18</v>
      </c>
      <c r="J33" s="37">
        <v>3640.66</v>
      </c>
      <c r="K33" s="37">
        <v>5718</v>
      </c>
      <c r="L33" s="37">
        <v>5424</v>
      </c>
      <c r="M33" s="1">
        <v>4505.9799999999996</v>
      </c>
      <c r="N33" s="1">
        <v>4949.78</v>
      </c>
      <c r="O33" s="1">
        <v>1749.2</v>
      </c>
      <c r="P33" s="1">
        <v>5960.62</v>
      </c>
      <c r="Q33" s="1">
        <v>4497.58</v>
      </c>
      <c r="R33" s="1">
        <v>3113.86</v>
      </c>
      <c r="S33" s="1">
        <v>4775.12</v>
      </c>
      <c r="T33" s="1">
        <v>3670.46</v>
      </c>
      <c r="U33" s="1">
        <v>2345</v>
      </c>
      <c r="V33" s="1">
        <v>4424.9799999999996</v>
      </c>
      <c r="W33" s="1">
        <v>3653.84</v>
      </c>
      <c r="X33" s="29">
        <v>2265.58</v>
      </c>
    </row>
    <row r="34" spans="1:25" x14ac:dyDescent="0.25">
      <c r="A34" s="20" t="s">
        <v>43</v>
      </c>
      <c r="B34" s="27" t="str">
        <f t="shared" si="3"/>
        <v/>
      </c>
      <c r="C34" s="106">
        <v>-189.89999999999998</v>
      </c>
      <c r="D34" s="1">
        <v>-16.64</v>
      </c>
      <c r="E34" s="91">
        <v>275.68</v>
      </c>
      <c r="F34" s="37">
        <v>0</v>
      </c>
      <c r="G34" s="37">
        <v>38.94</v>
      </c>
      <c r="H34" s="37">
        <v>0</v>
      </c>
      <c r="I34" s="37">
        <v>8.92</v>
      </c>
      <c r="J34" s="37">
        <v>0</v>
      </c>
      <c r="K34" s="37">
        <v>11.1</v>
      </c>
      <c r="L34" s="37">
        <v>6</v>
      </c>
      <c r="M34" s="1">
        <v>0</v>
      </c>
      <c r="N34" s="1">
        <v>1.54</v>
      </c>
      <c r="O34" s="1">
        <v>0</v>
      </c>
      <c r="P34" s="1">
        <v>29.58</v>
      </c>
      <c r="Q34" s="1">
        <v>84.3</v>
      </c>
      <c r="R34" s="1">
        <v>12.5</v>
      </c>
      <c r="S34" s="1">
        <v>253.6</v>
      </c>
      <c r="T34" s="1">
        <v>15.42</v>
      </c>
      <c r="U34" s="1">
        <v>0.52</v>
      </c>
      <c r="V34" s="1">
        <v>90.98</v>
      </c>
      <c r="W34" s="1">
        <v>1.96</v>
      </c>
      <c r="X34" s="29">
        <v>28.06</v>
      </c>
    </row>
    <row r="35" spans="1:25" x14ac:dyDescent="0.25">
      <c r="A35" s="20" t="s">
        <v>150</v>
      </c>
      <c r="B35" s="27" t="str">
        <f t="shared" si="3"/>
        <v/>
      </c>
      <c r="C35" s="106">
        <v>-172.68</v>
      </c>
      <c r="D35" s="1">
        <v>0</v>
      </c>
      <c r="E35" s="91"/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4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70.06</v>
      </c>
      <c r="T35" s="1">
        <v>0</v>
      </c>
      <c r="U35" s="1"/>
      <c r="V35" s="1"/>
      <c r="W35" s="1"/>
      <c r="X35" s="29"/>
    </row>
    <row r="36" spans="1:25" x14ac:dyDescent="0.25">
      <c r="A36" s="20" t="s">
        <v>44</v>
      </c>
      <c r="B36" s="27" t="str">
        <f t="shared" si="3"/>
        <v/>
      </c>
      <c r="C36" s="106">
        <v>-18.940000000000005</v>
      </c>
      <c r="D36" s="1">
        <v>0</v>
      </c>
      <c r="E36" s="91">
        <v>39.979999999999997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1</v>
      </c>
      <c r="M36" s="1">
        <v>14</v>
      </c>
      <c r="N36" s="1">
        <v>0</v>
      </c>
      <c r="O36" s="1">
        <v>0</v>
      </c>
      <c r="P36" s="1">
        <v>7</v>
      </c>
      <c r="Q36" s="1">
        <v>46.86</v>
      </c>
      <c r="R36" s="1">
        <v>0.68</v>
      </c>
      <c r="S36" s="1">
        <v>21.34</v>
      </c>
      <c r="T36" s="1">
        <v>5.6</v>
      </c>
      <c r="U36" s="1">
        <v>11.22</v>
      </c>
      <c r="V36" s="1">
        <v>0</v>
      </c>
      <c r="W36" s="1">
        <v>0</v>
      </c>
      <c r="X36" s="29">
        <v>13.18</v>
      </c>
    </row>
    <row r="37" spans="1:25" x14ac:dyDescent="0.25">
      <c r="A37" s="20" t="s">
        <v>161</v>
      </c>
      <c r="B37" s="27" t="str">
        <f t="shared" si="3"/>
        <v/>
      </c>
      <c r="C37" s="106">
        <v>-85.320000000000007</v>
      </c>
      <c r="D37" s="1">
        <v>-3.8</v>
      </c>
      <c r="E37" s="91">
        <v>71.260000000000005</v>
      </c>
      <c r="F37" s="37">
        <v>0</v>
      </c>
      <c r="G37" s="37">
        <v>53.74</v>
      </c>
      <c r="H37" s="37">
        <v>0</v>
      </c>
      <c r="I37" s="37">
        <v>0</v>
      </c>
      <c r="J37" s="37">
        <v>0</v>
      </c>
      <c r="K37" s="37">
        <v>0</v>
      </c>
      <c r="L37" s="37">
        <v>2</v>
      </c>
      <c r="M37" s="1">
        <v>0</v>
      </c>
      <c r="N37" s="1">
        <v>4</v>
      </c>
      <c r="O37" s="1">
        <v>0</v>
      </c>
      <c r="P37" s="1"/>
      <c r="Q37" s="1"/>
      <c r="R37" s="1"/>
      <c r="S37" s="1"/>
      <c r="T37" s="1"/>
      <c r="U37" s="1"/>
      <c r="V37" s="1"/>
      <c r="W37" s="1"/>
      <c r="X37" s="29"/>
    </row>
    <row r="38" spans="1:25" x14ac:dyDescent="0.25">
      <c r="A38" s="20" t="s">
        <v>45</v>
      </c>
      <c r="B38" s="119" t="str">
        <f t="shared" si="3"/>
        <v/>
      </c>
      <c r="C38" s="120">
        <v>0</v>
      </c>
      <c r="D38" s="1">
        <v>0</v>
      </c>
      <c r="E38" s="91"/>
      <c r="F38" s="37"/>
      <c r="G38" s="37"/>
      <c r="H38" s="37"/>
      <c r="I38" s="37"/>
      <c r="J38" s="37">
        <v>0</v>
      </c>
      <c r="K38" s="37"/>
      <c r="L38" s="37"/>
      <c r="M38" s="1">
        <v>0</v>
      </c>
      <c r="N38" s="1">
        <v>0</v>
      </c>
      <c r="O38" s="1">
        <v>0</v>
      </c>
      <c r="P38" s="1"/>
      <c r="Q38" s="1"/>
      <c r="R38" s="1"/>
      <c r="S38" s="1">
        <v>21.24</v>
      </c>
      <c r="T38" s="1">
        <v>0</v>
      </c>
      <c r="U38" s="1">
        <v>6.14</v>
      </c>
      <c r="V38" s="1">
        <v>16.260000000000002</v>
      </c>
      <c r="W38" s="1">
        <v>0</v>
      </c>
      <c r="X38" s="29">
        <v>0</v>
      </c>
    </row>
    <row r="39" spans="1:25" x14ac:dyDescent="0.25">
      <c r="A39" s="20" t="s">
        <v>47</v>
      </c>
      <c r="B39" s="27" t="str">
        <f t="shared" si="3"/>
        <v/>
      </c>
      <c r="C39" s="106">
        <v>-16.840000000000003</v>
      </c>
      <c r="D39" s="1">
        <v>-2</v>
      </c>
      <c r="E39" s="91">
        <v>161.9</v>
      </c>
      <c r="F39" s="37">
        <v>0</v>
      </c>
      <c r="G39" s="37">
        <v>35.1</v>
      </c>
      <c r="H39" s="37">
        <v>44.86</v>
      </c>
      <c r="I39" s="37">
        <v>9.74</v>
      </c>
      <c r="J39" s="37">
        <v>0</v>
      </c>
      <c r="K39" s="37">
        <v>0</v>
      </c>
      <c r="L39" s="37">
        <v>13</v>
      </c>
      <c r="M39" s="1">
        <v>14.68</v>
      </c>
      <c r="N39" s="70">
        <v>6</v>
      </c>
      <c r="O39" s="1">
        <v>30.26</v>
      </c>
      <c r="P39" s="1">
        <v>64.28</v>
      </c>
      <c r="Q39" s="1">
        <v>18.64</v>
      </c>
      <c r="R39" s="1">
        <v>54.72</v>
      </c>
      <c r="S39" s="1">
        <v>7.14</v>
      </c>
      <c r="T39" s="1">
        <v>0.08</v>
      </c>
      <c r="U39" s="1">
        <v>0.74</v>
      </c>
      <c r="V39" s="1">
        <v>116.66</v>
      </c>
      <c r="W39" s="1">
        <v>49.3</v>
      </c>
      <c r="X39" s="29">
        <v>189.06</v>
      </c>
    </row>
    <row r="40" spans="1:25" ht="13.8" thickBot="1" x14ac:dyDescent="0.3">
      <c r="A40" s="20" t="s">
        <v>46</v>
      </c>
      <c r="B40" s="27">
        <f t="shared" si="3"/>
        <v>222.79715302491104</v>
      </c>
      <c r="C40" s="106">
        <v>-3060.8</v>
      </c>
      <c r="D40" s="1">
        <v>-262.77999999999997</v>
      </c>
      <c r="E40" s="91">
        <v>1257.74</v>
      </c>
      <c r="F40" s="64">
        <v>5.62</v>
      </c>
      <c r="G40" s="64">
        <v>11.78</v>
      </c>
      <c r="H40" s="64">
        <v>19.32</v>
      </c>
      <c r="I40" s="64">
        <v>780.34</v>
      </c>
      <c r="J40" s="64">
        <v>0</v>
      </c>
      <c r="K40" s="64">
        <v>0</v>
      </c>
      <c r="L40" s="64">
        <v>0</v>
      </c>
      <c r="M40" s="10">
        <v>13.54</v>
      </c>
      <c r="N40" s="71">
        <v>0</v>
      </c>
      <c r="O40" s="71">
        <v>0</v>
      </c>
      <c r="P40" s="71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3</v>
      </c>
      <c r="X40" s="31">
        <v>0</v>
      </c>
    </row>
    <row r="41" spans="1:25" ht="13.8" thickBot="1" x14ac:dyDescent="0.3">
      <c r="A41" s="23" t="s">
        <v>22</v>
      </c>
      <c r="B41" s="111">
        <f t="shared" si="3"/>
        <v>1.3136551960490321</v>
      </c>
      <c r="C41" s="109">
        <v>-28156.420000000013</v>
      </c>
      <c r="D41" s="43">
        <v>-13941.800000000007</v>
      </c>
      <c r="E41" s="113">
        <f t="shared" ref="E41:J41" si="4">SUM(E31:E40)</f>
        <v>75611.639999999985</v>
      </c>
      <c r="F41" s="34">
        <f t="shared" si="4"/>
        <v>32680.599999999995</v>
      </c>
      <c r="G41" s="34">
        <f t="shared" si="4"/>
        <v>45832.160000000003</v>
      </c>
      <c r="H41" s="34">
        <f t="shared" si="4"/>
        <v>51096.68</v>
      </c>
      <c r="I41" s="34">
        <f t="shared" si="4"/>
        <v>63482.06</v>
      </c>
      <c r="J41" s="34">
        <f t="shared" si="4"/>
        <v>50285.460000000006</v>
      </c>
      <c r="K41" s="34">
        <f t="shared" ref="K41:P41" si="5">SUM(K31:K40)</f>
        <v>62734.999999999993</v>
      </c>
      <c r="L41" s="34">
        <f t="shared" si="5"/>
        <v>70791</v>
      </c>
      <c r="M41" s="34">
        <f t="shared" si="5"/>
        <v>57209.84</v>
      </c>
      <c r="N41" s="34">
        <f t="shared" si="5"/>
        <v>57799.9</v>
      </c>
      <c r="O41" s="34">
        <f t="shared" si="5"/>
        <v>47126.32</v>
      </c>
      <c r="P41" s="34">
        <f t="shared" si="5"/>
        <v>76360.72</v>
      </c>
      <c r="Q41" s="34">
        <f t="shared" ref="Q41:X41" si="6">SUM(Q31:Q40)</f>
        <v>69296.98</v>
      </c>
      <c r="R41" s="34">
        <f t="shared" si="6"/>
        <v>55871</v>
      </c>
      <c r="S41" s="34">
        <f t="shared" si="6"/>
        <v>82512.259999999995</v>
      </c>
      <c r="T41" s="34">
        <f t="shared" si="6"/>
        <v>64106.6</v>
      </c>
      <c r="U41" s="34">
        <f t="shared" si="6"/>
        <v>61040.459999999992</v>
      </c>
      <c r="V41" s="34">
        <f t="shared" si="6"/>
        <v>53771.16</v>
      </c>
      <c r="W41" s="34">
        <f t="shared" si="6"/>
        <v>56285.299999999996</v>
      </c>
      <c r="X41" s="34">
        <f t="shared" si="6"/>
        <v>33958.419999999991</v>
      </c>
    </row>
    <row r="48" spans="1:25" ht="17.399999999999999" x14ac:dyDescent="0.3">
      <c r="W48" s="5"/>
      <c r="X48" s="1"/>
      <c r="Y48" s="1"/>
    </row>
    <row r="49" spans="23:25" ht="17.399999999999999" x14ac:dyDescent="0.3">
      <c r="W49" s="5"/>
      <c r="X49" s="1"/>
      <c r="Y49" s="1"/>
    </row>
    <row r="50" spans="23:25" ht="17.399999999999999" x14ac:dyDescent="0.3">
      <c r="W50" s="5"/>
      <c r="X50" s="1"/>
      <c r="Y50" s="1"/>
    </row>
    <row r="51" spans="23:25" ht="17.399999999999999" x14ac:dyDescent="0.3">
      <c r="W51" s="5"/>
      <c r="X51" s="1"/>
      <c r="Y51" s="1"/>
    </row>
    <row r="52" spans="23:25" ht="17.399999999999999" x14ac:dyDescent="0.3">
      <c r="W52" s="5"/>
      <c r="X52" s="1"/>
      <c r="Y52" s="1"/>
    </row>
    <row r="53" spans="23:25" ht="17.399999999999999" x14ac:dyDescent="0.3">
      <c r="W53" s="5"/>
      <c r="X53" s="1"/>
      <c r="Y53" s="1"/>
    </row>
    <row r="54" spans="23:25" ht="17.399999999999999" x14ac:dyDescent="0.3">
      <c r="W54" s="5"/>
      <c r="X54" s="1"/>
      <c r="Y54" s="1"/>
    </row>
    <row r="55" spans="23:25" ht="17.399999999999999" x14ac:dyDescent="0.3">
      <c r="W55" s="5"/>
      <c r="X55" s="1"/>
      <c r="Y55" s="1"/>
    </row>
    <row r="56" spans="23:25" ht="17.399999999999999" x14ac:dyDescent="0.3">
      <c r="W56" s="5"/>
      <c r="X56" s="1"/>
      <c r="Y56" s="1"/>
    </row>
    <row r="57" spans="23:25" ht="17.399999999999999" x14ac:dyDescent="0.3">
      <c r="W57" s="5"/>
      <c r="X57" s="1"/>
      <c r="Y57" s="1"/>
    </row>
    <row r="58" spans="23:25" ht="17.399999999999999" x14ac:dyDescent="0.3">
      <c r="W58" s="6"/>
      <c r="X58" s="1"/>
      <c r="Y58" s="1"/>
    </row>
    <row r="59" spans="23:25" ht="18" x14ac:dyDescent="0.35">
      <c r="W59" s="7"/>
      <c r="X59" s="2"/>
      <c r="Y59" s="2"/>
    </row>
  </sheetData>
  <phoneticPr fontId="2" type="noConversion"/>
  <conditionalFormatting sqref="E1:E2">
    <cfRule type="expression" dxfId="37" priority="7">
      <formula>ISBLANK(XFD1)=FALSE</formula>
    </cfRule>
  </conditionalFormatting>
  <conditionalFormatting sqref="E3:E11">
    <cfRule type="expression" dxfId="36" priority="4">
      <formula>ISBLANK(A3)=FALSE</formula>
    </cfRule>
  </conditionalFormatting>
  <conditionalFormatting sqref="E12 E17 E24">
    <cfRule type="expression" dxfId="35" priority="12">
      <formula>ISBLANK(XFD12)=FALSE</formula>
    </cfRule>
  </conditionalFormatting>
  <conditionalFormatting sqref="E13:E16">
    <cfRule type="expression" dxfId="34" priority="3">
      <formula>ISBLANK(A13)=FALSE</formula>
    </cfRule>
  </conditionalFormatting>
  <conditionalFormatting sqref="E18:E23">
    <cfRule type="expression" dxfId="33" priority="2">
      <formula>ISBLANK(A18)=FALSE</formula>
    </cfRule>
  </conditionalFormatting>
  <conditionalFormatting sqref="E25">
    <cfRule type="expression" dxfId="32" priority="1">
      <formula>ISBLANK(A25)=FALSE</formula>
    </cfRule>
  </conditionalFormatting>
  <conditionalFormatting sqref="E26:E41">
    <cfRule type="expression" dxfId="31" priority="6">
      <formula>ISBLANK(XFD26)=FALSE</formula>
    </cfRule>
  </conditionalFormatting>
  <pageMargins left="0.75" right="0.75" top="1" bottom="1" header="0.5" footer="0.5"/>
  <pageSetup paperSize="9" scale="85" orientation="landscape"/>
  <headerFooter alignWithMargins="0"/>
  <ignoredErrors>
    <ignoredError sqref="I41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Z81"/>
  <sheetViews>
    <sheetView tabSelected="1" zoomScaleNormal="100" workbookViewId="0">
      <selection activeCell="I49" sqref="I49"/>
    </sheetView>
  </sheetViews>
  <sheetFormatPr defaultColWidth="8.6640625" defaultRowHeight="13.2" x14ac:dyDescent="0.25"/>
  <cols>
    <col min="1" max="1" width="21.6640625" customWidth="1"/>
    <col min="2" max="2" width="10.6640625" customWidth="1"/>
    <col min="3" max="3" width="11.33203125" customWidth="1"/>
    <col min="4" max="4" width="11.33203125" bestFit="1" customWidth="1"/>
    <col min="5" max="5" width="11.33203125" customWidth="1"/>
    <col min="6" max="13" width="11.6640625" customWidth="1"/>
    <col min="14" max="14" width="10.6640625" customWidth="1"/>
    <col min="15" max="24" width="10.109375" bestFit="1" customWidth="1"/>
  </cols>
  <sheetData>
    <row r="1" spans="1:26" ht="13.8" thickBot="1" x14ac:dyDescent="0.3">
      <c r="A1" s="38" t="s">
        <v>186</v>
      </c>
      <c r="B1" s="24" t="s">
        <v>169</v>
      </c>
      <c r="C1" s="114" t="s">
        <v>178</v>
      </c>
      <c r="D1" s="69" t="s">
        <v>170</v>
      </c>
      <c r="E1" s="116">
        <v>46113</v>
      </c>
      <c r="F1" s="99">
        <v>45748</v>
      </c>
      <c r="G1" s="99">
        <v>45383</v>
      </c>
      <c r="H1" s="99">
        <v>45017</v>
      </c>
      <c r="I1" s="99">
        <v>44652</v>
      </c>
      <c r="J1" s="99">
        <v>44287</v>
      </c>
      <c r="K1" s="99">
        <v>43922</v>
      </c>
      <c r="L1" s="99">
        <v>43556</v>
      </c>
      <c r="M1" s="99">
        <v>43191</v>
      </c>
      <c r="N1" s="25">
        <v>42826</v>
      </c>
      <c r="O1" s="25">
        <v>42461</v>
      </c>
      <c r="P1" s="25">
        <v>42095</v>
      </c>
      <c r="Q1" s="25">
        <v>41730</v>
      </c>
      <c r="R1" s="25">
        <v>41365</v>
      </c>
      <c r="S1" s="25">
        <v>41000</v>
      </c>
      <c r="T1" s="25">
        <v>40634</v>
      </c>
      <c r="U1" s="25">
        <v>40269</v>
      </c>
      <c r="V1" s="25">
        <v>39904</v>
      </c>
      <c r="W1" s="25">
        <v>39539</v>
      </c>
      <c r="X1" s="26">
        <v>39173</v>
      </c>
    </row>
    <row r="2" spans="1:26" x14ac:dyDescent="0.25">
      <c r="A2" s="39" t="s">
        <v>8</v>
      </c>
      <c r="B2" s="27">
        <f t="shared" ref="B2:B16" si="0">IFERROR(((E2-F2)/F2),"")</f>
        <v>1.5526526112174215</v>
      </c>
      <c r="C2" s="106">
        <v>-15672.395432177989</v>
      </c>
      <c r="D2" s="1">
        <v>-10652.010323063751</v>
      </c>
      <c r="E2" s="91">
        <f>Austria!E$21</f>
        <v>65647.078252032516</v>
      </c>
      <c r="F2" s="1">
        <f>Austria!F$21</f>
        <v>25717.200203252036</v>
      </c>
      <c r="G2" s="1">
        <f>Austria!G$21</f>
        <v>50972.53556910569</v>
      </c>
      <c r="H2" s="1">
        <f>Austria!H$21</f>
        <v>68727.708333333328</v>
      </c>
      <c r="I2" s="1">
        <f>Austria!I$21</f>
        <v>55777.916666666664</v>
      </c>
      <c r="J2" s="1">
        <f>Austria!J$21</f>
        <v>57735.249999999993</v>
      </c>
      <c r="K2" s="1">
        <f>Austria!K$21</f>
        <v>43068</v>
      </c>
      <c r="L2" s="1">
        <f>Austria!L$21</f>
        <v>73183.839999999997</v>
      </c>
      <c r="M2" s="1">
        <f>Austria!M$21</f>
        <v>27178</v>
      </c>
      <c r="N2" s="1">
        <f>Austria!N$21</f>
        <v>13851.8</v>
      </c>
      <c r="O2" s="1">
        <f>Austria!O$21</f>
        <v>76315.62</v>
      </c>
      <c r="P2" s="1">
        <f>Austria!P$21</f>
        <v>76178.22</v>
      </c>
      <c r="Q2" s="1">
        <f>Austria!Q$21</f>
        <v>77032</v>
      </c>
      <c r="R2" s="1">
        <f>Austria!R$21</f>
        <v>56929.320000000007</v>
      </c>
      <c r="S2" s="1">
        <f>Austria!S$21</f>
        <v>86832</v>
      </c>
      <c r="T2" s="1">
        <f>Austria!T$21</f>
        <v>78526</v>
      </c>
      <c r="U2" s="1">
        <f>Austria!U$21</f>
        <v>82632</v>
      </c>
      <c r="V2" s="1">
        <v>78965</v>
      </c>
      <c r="W2" s="1">
        <v>62632</v>
      </c>
      <c r="X2" s="29">
        <v>60027</v>
      </c>
      <c r="Z2" s="3"/>
    </row>
    <row r="3" spans="1:26" x14ac:dyDescent="0.25">
      <c r="A3" s="39" t="s">
        <v>0</v>
      </c>
      <c r="B3" s="27">
        <f t="shared" si="0"/>
        <v>0.50128132552998717</v>
      </c>
      <c r="C3" s="106">
        <v>-14273.129483828685</v>
      </c>
      <c r="D3" s="1">
        <v>-9567.9424538336971</v>
      </c>
      <c r="E3" s="91">
        <f>Belgium!E$10</f>
        <v>47075.1380173418</v>
      </c>
      <c r="F3" s="1">
        <f>Belgium!F$10</f>
        <v>31356.639969342978</v>
      </c>
      <c r="G3" s="1">
        <f>Belgium!G$10</f>
        <v>46165.780542384666</v>
      </c>
      <c r="H3" s="1">
        <f>Belgium!H$10</f>
        <v>42807.143184253182</v>
      </c>
      <c r="I3" s="1">
        <f>Belgium!I$10</f>
        <v>85276.480453761527</v>
      </c>
      <c r="J3" s="1">
        <f>Belgium!J$10</f>
        <v>51241</v>
      </c>
      <c r="K3" s="1">
        <f>Belgium!K$10</f>
        <v>76208</v>
      </c>
      <c r="L3" s="1">
        <f>Belgium!L$10</f>
        <v>73268</v>
      </c>
      <c r="M3" s="1">
        <f>Belgium!M$10</f>
        <v>8257</v>
      </c>
      <c r="N3" s="1">
        <f>Belgium!N$10</f>
        <v>45613</v>
      </c>
      <c r="O3" s="1">
        <f>Belgium!O$10</f>
        <v>88378</v>
      </c>
      <c r="P3" s="1">
        <f>Belgium!P$10</f>
        <v>102838</v>
      </c>
      <c r="Q3" s="1">
        <f>Belgium!Q$10</f>
        <v>55031</v>
      </c>
      <c r="R3" s="1">
        <f>Belgium!R$10</f>
        <v>45956</v>
      </c>
      <c r="S3" s="1">
        <f>Belgium!S$10</f>
        <v>56410</v>
      </c>
      <c r="T3" s="1">
        <f>Belgium!T$10</f>
        <v>59307.255145342984</v>
      </c>
      <c r="U3" s="1">
        <f>Belgium!U$10</f>
        <v>92731</v>
      </c>
      <c r="V3" s="1">
        <v>136700</v>
      </c>
      <c r="W3" s="1">
        <v>128100</v>
      </c>
      <c r="X3" s="29">
        <v>112200</v>
      </c>
    </row>
    <row r="4" spans="1:26" x14ac:dyDescent="0.25">
      <c r="A4" s="39" t="s">
        <v>30</v>
      </c>
      <c r="B4" s="27">
        <f t="shared" si="0"/>
        <v>2.3998405421566673</v>
      </c>
      <c r="C4" s="106">
        <v>-6318</v>
      </c>
      <c r="D4" s="1">
        <v>-2718</v>
      </c>
      <c r="E4" s="91">
        <f>'Czech Republic'!E$12</f>
        <v>17057</v>
      </c>
      <c r="F4" s="1">
        <f>'Czech Republic'!F$12</f>
        <v>5017</v>
      </c>
      <c r="G4" s="1">
        <f>'Czech Republic'!G$12</f>
        <v>15679</v>
      </c>
      <c r="H4" s="1">
        <f>'Czech Republic'!H$12</f>
        <v>21091</v>
      </c>
      <c r="I4" s="1">
        <f>'Czech Republic'!I$12</f>
        <v>21783</v>
      </c>
      <c r="J4" s="1">
        <f>'Czech Republic'!J$12</f>
        <v>18076</v>
      </c>
      <c r="K4" s="1">
        <f>'Czech Republic'!K$12</f>
        <v>12807</v>
      </c>
      <c r="L4" s="1">
        <f>'Czech Republic'!L$12</f>
        <v>26740</v>
      </c>
      <c r="M4" s="1">
        <f>'Czech Republic'!M$12</f>
        <v>12952</v>
      </c>
      <c r="N4" s="1">
        <f>'Czech Republic'!N$12</f>
        <v>10518</v>
      </c>
      <c r="O4" s="1">
        <f>'Czech Republic'!O$12</f>
        <v>20007</v>
      </c>
      <c r="P4" s="1">
        <f>'Czech Republic'!P$12</f>
        <v>12168</v>
      </c>
      <c r="Q4" s="1">
        <f>'Czech Republic'!Q$12</f>
        <v>13775</v>
      </c>
      <c r="R4" s="1">
        <f>'Czech Republic'!R$12</f>
        <v>9819</v>
      </c>
      <c r="S4" s="1">
        <f>'Czech Republic'!S$12</f>
        <v>5977</v>
      </c>
      <c r="T4" s="1">
        <f>'Czech Republic'!T$12</f>
        <v>6570</v>
      </c>
      <c r="U4" s="1">
        <f>'Czech Republic'!U$12</f>
        <v>14995</v>
      </c>
      <c r="V4" s="1">
        <v>16065</v>
      </c>
      <c r="W4" s="1">
        <v>5802</v>
      </c>
      <c r="X4" s="29">
        <v>13783</v>
      </c>
      <c r="Z4" s="3"/>
    </row>
    <row r="5" spans="1:26" x14ac:dyDescent="0.25">
      <c r="A5" s="39" t="s">
        <v>39</v>
      </c>
      <c r="B5" s="27">
        <f t="shared" si="0"/>
        <v>-0.62583633556356155</v>
      </c>
      <c r="C5" s="106">
        <v>-1578</v>
      </c>
      <c r="D5" s="1">
        <v>-1433</v>
      </c>
      <c r="E5" s="91">
        <f>Denmark!E$20</f>
        <v>1454</v>
      </c>
      <c r="F5" s="1">
        <f>Denmark!F$20</f>
        <v>3886</v>
      </c>
      <c r="G5" s="1">
        <f>Denmark!G$20</f>
        <v>611</v>
      </c>
      <c r="H5" s="1">
        <f>Denmark!H$20</f>
        <v>2735</v>
      </c>
      <c r="I5" s="1">
        <f>Denmark!I$20</f>
        <v>3865</v>
      </c>
      <c r="J5" s="1">
        <f>Denmark!J$20</f>
        <v>1402</v>
      </c>
      <c r="K5" s="1">
        <f>Denmark!K$20</f>
        <v>624</v>
      </c>
      <c r="L5" s="1">
        <f>Denmark!L$20</f>
        <v>4451</v>
      </c>
      <c r="M5" s="1">
        <f>Denmark!M$20</f>
        <v>1474</v>
      </c>
      <c r="N5" s="1">
        <f>Denmark!N$20</f>
        <v>3374</v>
      </c>
      <c r="O5" s="1">
        <f>Denmark!O$20</f>
        <v>3650</v>
      </c>
      <c r="P5" s="1">
        <f>Denmark!P$20</f>
        <v>1926</v>
      </c>
      <c r="Q5" s="1">
        <f>Denmark!Q$20</f>
        <v>1196</v>
      </c>
      <c r="R5" s="1">
        <f>Denmark!R$20</f>
        <v>473</v>
      </c>
      <c r="S5" s="1">
        <f>Denmark!S$20</f>
        <v>1196</v>
      </c>
      <c r="T5" s="1">
        <f>Denmark!T$20</f>
        <v>466</v>
      </c>
      <c r="U5" s="1">
        <f>Denmark!U$20</f>
        <v>1347</v>
      </c>
      <c r="V5" s="1">
        <v>1703</v>
      </c>
      <c r="W5" s="1">
        <v>338</v>
      </c>
      <c r="X5" s="29">
        <v>0</v>
      </c>
      <c r="Z5" s="3"/>
    </row>
    <row r="6" spans="1:26" ht="14.4" x14ac:dyDescent="0.3">
      <c r="A6" s="39" t="s">
        <v>131</v>
      </c>
      <c r="B6" s="27">
        <f t="shared" si="0"/>
        <v>7.4457252051462697E-2</v>
      </c>
      <c r="C6" s="106">
        <v>-102185.23079999996</v>
      </c>
      <c r="D6" s="1">
        <v>-107738.77529999992</v>
      </c>
      <c r="E6" s="91">
        <f>France!E$26</f>
        <v>337237.60900000005</v>
      </c>
      <c r="F6" s="1">
        <f>France!F$26</f>
        <v>313867.86990000005</v>
      </c>
      <c r="G6" s="1">
        <f>France!G$26</f>
        <v>301451</v>
      </c>
      <c r="H6" s="1">
        <f>France!H$26</f>
        <v>255395</v>
      </c>
      <c r="I6" s="1">
        <f>France!I$26</f>
        <v>305549</v>
      </c>
      <c r="J6" s="1">
        <f>France!J$26</f>
        <v>244376</v>
      </c>
      <c r="K6" s="1">
        <f>France!K$26</f>
        <v>335762</v>
      </c>
      <c r="L6" s="1">
        <f>France!L$26</f>
        <v>305009</v>
      </c>
      <c r="M6" s="1">
        <f>France!M$26</f>
        <v>249925</v>
      </c>
      <c r="N6" s="37">
        <f>France!N$26</f>
        <v>263713</v>
      </c>
      <c r="O6" s="37">
        <f>France!O$26</f>
        <v>267758</v>
      </c>
      <c r="P6" s="37">
        <f>France!P$26</f>
        <v>244349</v>
      </c>
      <c r="Q6" s="37">
        <f>France!Q$26</f>
        <v>330952</v>
      </c>
      <c r="R6" s="37">
        <f>France!R$26</f>
        <v>141787</v>
      </c>
      <c r="S6" s="37">
        <f>France!S$26</f>
        <v>254670</v>
      </c>
      <c r="T6" s="37">
        <f>France!T$26</f>
        <v>250129</v>
      </c>
      <c r="U6" s="37">
        <f>France!U$26</f>
        <v>285689</v>
      </c>
      <c r="V6" s="92"/>
      <c r="W6" s="92"/>
      <c r="X6" s="93"/>
      <c r="Z6" s="3"/>
    </row>
    <row r="7" spans="1:26" x14ac:dyDescent="0.25">
      <c r="A7" s="39" t="s">
        <v>27</v>
      </c>
      <c r="B7" s="27">
        <f t="shared" si="0"/>
        <v>0.89210611311399568</v>
      </c>
      <c r="C7" s="106">
        <v>-50682</v>
      </c>
      <c r="D7" s="1">
        <v>-36167</v>
      </c>
      <c r="E7" s="91">
        <f>Germany!E$21</f>
        <v>216754</v>
      </c>
      <c r="F7" s="1">
        <f>Germany!F$21</f>
        <v>114557</v>
      </c>
      <c r="G7" s="1">
        <f>Germany!G$21</f>
        <v>128329</v>
      </c>
      <c r="H7" s="1">
        <f>Germany!H$21</f>
        <v>162299</v>
      </c>
      <c r="I7" s="1">
        <f>Germany!I$21</f>
        <v>172707</v>
      </c>
      <c r="J7" s="1">
        <f>Germany!J$21</f>
        <v>139630</v>
      </c>
      <c r="K7" s="1">
        <f>Germany!K$21</f>
        <v>121414</v>
      </c>
      <c r="L7" s="1">
        <f>Germany!L$21</f>
        <v>188961</v>
      </c>
      <c r="M7" s="1">
        <f>Germany!M$21</f>
        <v>74908</v>
      </c>
      <c r="N7" s="1">
        <f>Germany!N$21</f>
        <v>178868</v>
      </c>
      <c r="O7" s="1">
        <f>Germany!O$21</f>
        <v>166316</v>
      </c>
      <c r="P7" s="1">
        <f>Germany!P$21</f>
        <v>176047</v>
      </c>
      <c r="Q7" s="1">
        <f>Germany!Q$21</f>
        <v>132550</v>
      </c>
      <c r="R7" s="1">
        <f>Germany!R$21</f>
        <v>153150</v>
      </c>
      <c r="S7" s="1">
        <f>Germany!S$21</f>
        <v>157895</v>
      </c>
      <c r="T7" s="1">
        <f>Germany!T$21</f>
        <v>114708</v>
      </c>
      <c r="U7" s="1">
        <f>Germany!U$21</f>
        <v>157794</v>
      </c>
      <c r="V7" s="1">
        <v>137522</v>
      </c>
      <c r="W7" s="1">
        <v>113628</v>
      </c>
      <c r="X7" s="29">
        <v>121361</v>
      </c>
      <c r="Z7" s="3"/>
    </row>
    <row r="8" spans="1:26" x14ac:dyDescent="0.25">
      <c r="A8" s="39" t="s">
        <v>16</v>
      </c>
      <c r="B8" s="27">
        <f t="shared" si="0"/>
        <v>3.2959255414856302E-2</v>
      </c>
      <c r="C8" s="106">
        <v>-207180</v>
      </c>
      <c r="D8" s="1">
        <v>-212387.52656351472</v>
      </c>
      <c r="E8" s="91">
        <f>Italy!E20</f>
        <v>666088</v>
      </c>
      <c r="F8" s="1">
        <f>Italy!F20</f>
        <v>644834.72751544905</v>
      </c>
      <c r="G8" s="1">
        <f>Italy!G20</f>
        <v>636932.46433729865</v>
      </c>
      <c r="H8" s="1">
        <f>Italy!H20</f>
        <v>544568.30013687396</v>
      </c>
      <c r="I8" s="1">
        <f>Italy!I20</f>
        <v>619673.19556632405</v>
      </c>
      <c r="J8" s="1">
        <f>Italy!J20</f>
        <v>607116.19999999995</v>
      </c>
      <c r="K8" s="1">
        <f>Italy!K20</f>
        <v>556714.00613923301</v>
      </c>
      <c r="L8" s="1">
        <f>Italy!L$20</f>
        <v>692394.59999999986</v>
      </c>
      <c r="M8" s="1">
        <f>Italy!M$20</f>
        <v>326613</v>
      </c>
      <c r="N8" s="1">
        <f>Italy!N$20</f>
        <v>673776.64500000014</v>
      </c>
      <c r="O8" s="1">
        <f>Italy!O$20</f>
        <v>681203.5120000001</v>
      </c>
      <c r="P8" s="1">
        <f>Italy!P$20</f>
        <v>707376</v>
      </c>
      <c r="Q8" s="1">
        <f>Italy!Q$20</f>
        <v>608664</v>
      </c>
      <c r="R8" s="1">
        <f>Italy!R$20</f>
        <v>472911</v>
      </c>
      <c r="S8" s="1">
        <f>Italy!S$20</f>
        <v>596108</v>
      </c>
      <c r="T8" s="1">
        <f>Italy!T$20</f>
        <v>582902</v>
      </c>
      <c r="U8" s="1">
        <f>Italy!U$20</f>
        <v>585606.15999999992</v>
      </c>
      <c r="V8" s="1">
        <v>615685.20000000007</v>
      </c>
      <c r="W8" s="1">
        <v>484917.1</v>
      </c>
      <c r="X8" s="29">
        <v>495348</v>
      </c>
    </row>
    <row r="9" spans="1:26" x14ac:dyDescent="0.25">
      <c r="A9" s="39" t="s">
        <v>31</v>
      </c>
      <c r="B9" s="27">
        <f t="shared" si="0"/>
        <v>0.34300791556728233</v>
      </c>
      <c r="C9" s="106">
        <v>-115000</v>
      </c>
      <c r="D9" s="1">
        <v>-171000</v>
      </c>
      <c r="E9" s="91">
        <f>Poland!E$18</f>
        <v>509000</v>
      </c>
      <c r="F9" s="1">
        <f>Poland!F$18</f>
        <v>379000</v>
      </c>
      <c r="G9" s="1">
        <f>Poland!G$18</f>
        <v>505000</v>
      </c>
      <c r="H9" s="1">
        <f>Poland!H$18</f>
        <v>563000</v>
      </c>
      <c r="I9" s="1">
        <f>Poland!I$18</f>
        <v>617000</v>
      </c>
      <c r="J9" s="1">
        <f>Poland!J$18</f>
        <v>592000</v>
      </c>
      <c r="K9" s="1">
        <f>Poland!K$18</f>
        <v>329000</v>
      </c>
      <c r="L9" s="1">
        <f>Poland!L$18</f>
        <v>665000</v>
      </c>
      <c r="M9" s="1">
        <f>Poland!M$18</f>
        <v>286000</v>
      </c>
      <c r="N9" s="37">
        <f>Poland!N$18</f>
        <v>580000</v>
      </c>
      <c r="O9" s="37">
        <f>Poland!O$18</f>
        <v>595000</v>
      </c>
      <c r="P9" s="37">
        <f>Poland!P$18</f>
        <v>502000</v>
      </c>
      <c r="Q9" s="37">
        <f>Poland!Q$18</f>
        <v>495000</v>
      </c>
      <c r="R9" s="37">
        <f>Poland!R$18</f>
        <v>400000</v>
      </c>
      <c r="S9" s="37">
        <f>Poland!S$18</f>
        <v>385000</v>
      </c>
      <c r="T9" s="37">
        <f>Poland!T$18</f>
        <v>130000</v>
      </c>
      <c r="U9" s="37">
        <f>Poland!U$18</f>
        <v>250000</v>
      </c>
      <c r="V9" s="37">
        <v>165000</v>
      </c>
      <c r="W9" s="37">
        <v>80000</v>
      </c>
      <c r="X9" s="59">
        <v>110000</v>
      </c>
      <c r="Z9" s="3"/>
    </row>
    <row r="10" spans="1:26" hidden="1" x14ac:dyDescent="0.25">
      <c r="A10" s="39" t="s">
        <v>145</v>
      </c>
      <c r="B10" s="119" t="str">
        <f t="shared" si="0"/>
        <v/>
      </c>
      <c r="C10" s="120">
        <v>0</v>
      </c>
      <c r="D10" s="1">
        <v>0</v>
      </c>
      <c r="E10" s="91"/>
      <c r="F10" s="1"/>
      <c r="G10" s="1"/>
      <c r="H10" s="1"/>
      <c r="I10" s="1"/>
      <c r="J10" s="1"/>
      <c r="K10" s="1"/>
      <c r="L10" s="1"/>
      <c r="M10" s="1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59"/>
      <c r="Z10" s="3"/>
    </row>
    <row r="11" spans="1:26" hidden="1" x14ac:dyDescent="0.25">
      <c r="A11" s="39" t="s">
        <v>165</v>
      </c>
      <c r="B11" s="27" t="str">
        <f t="shared" si="0"/>
        <v/>
      </c>
      <c r="C11" s="106">
        <v>0</v>
      </c>
      <c r="D11" s="1">
        <v>0</v>
      </c>
      <c r="E11" s="91"/>
      <c r="F11" s="1"/>
      <c r="G11" s="1"/>
      <c r="H11" s="1"/>
      <c r="I11" s="1"/>
      <c r="J11" s="1"/>
      <c r="K11" s="1"/>
      <c r="L11" s="1"/>
      <c r="M11" s="1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59"/>
      <c r="Z11" s="3"/>
    </row>
    <row r="12" spans="1:26" x14ac:dyDescent="0.25">
      <c r="A12" s="39" t="s">
        <v>36</v>
      </c>
      <c r="B12" s="27">
        <f t="shared" si="0"/>
        <v>-5.8495101489670118E-2</v>
      </c>
      <c r="C12" s="106">
        <v>-27292.375196945388</v>
      </c>
      <c r="D12" s="1">
        <v>-32574.08056358555</v>
      </c>
      <c r="E12" s="91">
        <f>Spain!E$8</f>
        <v>106836.88739301401</v>
      </c>
      <c r="F12" s="1">
        <f>Spain!F$8</f>
        <v>113474.5953654131</v>
      </c>
      <c r="G12" s="1">
        <f>Spain!G$8</f>
        <v>113005</v>
      </c>
      <c r="H12" s="1">
        <f>Spain!H$8</f>
        <v>82678.900593958038</v>
      </c>
      <c r="I12" s="1">
        <f>Spain!I$8</f>
        <v>140221.20462254473</v>
      </c>
      <c r="J12" s="1">
        <f>Spain!J$8</f>
        <v>88447.893846259278</v>
      </c>
      <c r="K12" s="1">
        <f>Spain!K$8</f>
        <v>147270.06203051447</v>
      </c>
      <c r="L12" s="1">
        <f>Spain!L$8</f>
        <v>111614</v>
      </c>
      <c r="M12" s="1">
        <f>Spain!M$8</f>
        <v>88490</v>
      </c>
      <c r="N12" s="1">
        <f>Spain!N$8</f>
        <v>125751.73689310774</v>
      </c>
      <c r="O12" s="1">
        <f>Spain!O$8</f>
        <v>90361.609288090141</v>
      </c>
      <c r="P12" s="1">
        <f>Spain!P$8</f>
        <v>101100.77488239626</v>
      </c>
      <c r="Q12" s="1">
        <f>Spain!Q$8</f>
        <v>89872.261951597146</v>
      </c>
      <c r="R12" s="1">
        <f>Spain!R$8</f>
        <v>54084.798070911478</v>
      </c>
      <c r="S12" s="1">
        <f>Spain!S$8</f>
        <v>96055.348517834558</v>
      </c>
      <c r="T12" s="1">
        <f>Spain!T$8</f>
        <v>82666</v>
      </c>
      <c r="U12" s="1">
        <f>Spain!U$8</f>
        <v>74812.849279070084</v>
      </c>
      <c r="V12" s="1">
        <v>106287.422811934</v>
      </c>
      <c r="W12" s="1">
        <v>76346</v>
      </c>
      <c r="X12" s="29">
        <v>64969</v>
      </c>
      <c r="Z12" s="3"/>
    </row>
    <row r="13" spans="1:26" x14ac:dyDescent="0.25">
      <c r="A13" s="39" t="s">
        <v>59</v>
      </c>
      <c r="B13" s="27">
        <f t="shared" si="0"/>
        <v>-3.5382527919841353E-2</v>
      </c>
      <c r="C13" s="106">
        <v>-9648</v>
      </c>
      <c r="D13" s="1">
        <v>-8883</v>
      </c>
      <c r="E13" s="91">
        <f>Switzerland!E$19</f>
        <v>36968</v>
      </c>
      <c r="F13" s="1">
        <f>Switzerland!F$19</f>
        <v>38324</v>
      </c>
      <c r="G13" s="1">
        <f>Switzerland!G$19</f>
        <v>25592</v>
      </c>
      <c r="H13" s="1">
        <f>Switzerland!H$19</f>
        <v>27005</v>
      </c>
      <c r="I13" s="1">
        <f>Switzerland!I$19</f>
        <v>33445</v>
      </c>
      <c r="J13" s="1">
        <f>Switzerland!J$19</f>
        <v>31469</v>
      </c>
      <c r="K13" s="1">
        <f>Switzerland!K$19</f>
        <v>28580</v>
      </c>
      <c r="L13" s="1">
        <f>Switzerland!L$19</f>
        <v>37244</v>
      </c>
      <c r="M13" s="1">
        <f>Switzerland!M$19</f>
        <v>13907</v>
      </c>
      <c r="N13" s="1">
        <f>Switzerland!N$19</f>
        <v>30918</v>
      </c>
      <c r="O13" s="1">
        <f>Switzerland!O$19</f>
        <v>30382</v>
      </c>
      <c r="P13" s="1">
        <f>Switzerland!P$19</f>
        <v>31764</v>
      </c>
      <c r="Q13" s="1">
        <f>Switzerland!Q$19</f>
        <v>31344</v>
      </c>
      <c r="R13" s="1">
        <f>Switzerland!R$19</f>
        <v>30154</v>
      </c>
      <c r="S13" s="1">
        <f>Switzerland!S$19</f>
        <v>35087</v>
      </c>
      <c r="T13" s="1">
        <f>Switzerland!T$19</f>
        <v>32973</v>
      </c>
      <c r="U13" s="1">
        <f>Switzerland!U$19</f>
        <v>34082</v>
      </c>
      <c r="V13" s="1">
        <v>29195</v>
      </c>
      <c r="W13" s="1">
        <v>31751</v>
      </c>
      <c r="X13" s="29">
        <v>31042</v>
      </c>
      <c r="Z13" s="3"/>
    </row>
    <row r="14" spans="1:26" x14ac:dyDescent="0.25">
      <c r="A14" s="39" t="s">
        <v>1</v>
      </c>
      <c r="B14" s="27">
        <f t="shared" si="0"/>
        <v>0.73017083405746053</v>
      </c>
      <c r="C14" s="106">
        <v>-19960.169999999998</v>
      </c>
      <c r="D14" s="1">
        <v>-16882.900000000009</v>
      </c>
      <c r="E14" s="91">
        <f>Netherlands!E$8</f>
        <v>88603.9516</v>
      </c>
      <c r="F14" s="1">
        <f>Netherlands!F$8</f>
        <v>51211.099999999991</v>
      </c>
      <c r="G14" s="1">
        <f>Netherlands!G$8</f>
        <v>50005.5</v>
      </c>
      <c r="H14" s="1">
        <f>Netherlands!H$8</f>
        <v>69367</v>
      </c>
      <c r="I14" s="1">
        <f>Netherlands!I$8</f>
        <v>83696</v>
      </c>
      <c r="J14" s="1">
        <f>Netherlands!J$8</f>
        <v>59451</v>
      </c>
      <c r="K14" s="1">
        <f>Netherlands!K$8</f>
        <v>89243</v>
      </c>
      <c r="L14" s="1">
        <f>Netherlands!L$8</f>
        <v>78571</v>
      </c>
      <c r="M14" s="1">
        <f>Netherlands!M$8</f>
        <v>55913</v>
      </c>
      <c r="N14" s="1">
        <f>Netherlands!N$8</f>
        <v>107718</v>
      </c>
      <c r="O14" s="1">
        <f>Netherlands!O$8</f>
        <v>108329</v>
      </c>
      <c r="P14" s="1">
        <f>Netherlands!P$8</f>
        <v>118613</v>
      </c>
      <c r="Q14" s="1">
        <f>Netherlands!Q$8</f>
        <v>106000</v>
      </c>
      <c r="R14" s="1">
        <f>Netherlands!R$8</f>
        <v>84000</v>
      </c>
      <c r="S14" s="1">
        <f>Netherlands!S$8</f>
        <v>132000</v>
      </c>
      <c r="T14" s="1">
        <f>Netherlands!T$8</f>
        <v>85000</v>
      </c>
      <c r="U14" s="1">
        <f>Netherlands!U$8</f>
        <v>125000</v>
      </c>
      <c r="V14" s="1">
        <v>120000</v>
      </c>
      <c r="W14" s="1">
        <v>113000</v>
      </c>
      <c r="X14" s="29">
        <v>105000</v>
      </c>
    </row>
    <row r="15" spans="1:26" ht="13.8" thickBot="1" x14ac:dyDescent="0.3">
      <c r="A15" s="39" t="s">
        <v>162</v>
      </c>
      <c r="B15" s="27">
        <f t="shared" si="0"/>
        <v>0.35260712441920494</v>
      </c>
      <c r="C15" s="106">
        <v>-20050</v>
      </c>
      <c r="D15" s="1">
        <v>-19141</v>
      </c>
      <c r="E15" s="91">
        <f>UK!E$12</f>
        <v>60260</v>
      </c>
      <c r="F15" s="1">
        <f>UK!F$12</f>
        <v>44551</v>
      </c>
      <c r="G15" s="1">
        <f>UK!G$12</f>
        <v>22478</v>
      </c>
      <c r="H15" s="1">
        <f>UK!H$12</f>
        <v>50486</v>
      </c>
      <c r="I15" s="1">
        <f>UK!I$12</f>
        <v>33375</v>
      </c>
      <c r="J15" s="1">
        <f>UK!J$12</f>
        <v>23686</v>
      </c>
      <c r="K15" s="1">
        <f>UK!K$12</f>
        <v>22953</v>
      </c>
      <c r="L15" s="1">
        <f>UK!L$12</f>
        <v>41193</v>
      </c>
      <c r="M15" s="1">
        <f>UK!M$12</f>
        <v>28086</v>
      </c>
      <c r="N15" s="1">
        <f>UK!N$12</f>
        <v>33420</v>
      </c>
      <c r="O15" s="1">
        <f>UK!O$12</f>
        <v>37050</v>
      </c>
      <c r="P15" s="1">
        <f>UK!P$12</f>
        <v>35400</v>
      </c>
      <c r="Q15" s="1">
        <f>UK!Q$12</f>
        <v>37500</v>
      </c>
      <c r="R15" s="1">
        <f>UK!R$12</f>
        <v>12400</v>
      </c>
      <c r="S15" s="1">
        <f>UK!S$12</f>
        <v>32100</v>
      </c>
      <c r="T15" s="1">
        <f>UK!T$12</f>
        <v>31500</v>
      </c>
      <c r="U15" s="1">
        <f>UK!U$12</f>
        <v>31500</v>
      </c>
      <c r="V15" s="1">
        <v>31000</v>
      </c>
      <c r="W15" s="1">
        <v>22500</v>
      </c>
      <c r="X15" s="29">
        <v>25000</v>
      </c>
    </row>
    <row r="16" spans="1:26" ht="13.8" thickBot="1" x14ac:dyDescent="0.3">
      <c r="A16" s="23" t="s">
        <v>22</v>
      </c>
      <c r="B16" s="111">
        <f t="shared" si="0"/>
        <v>0.21926897721332789</v>
      </c>
      <c r="C16" s="109">
        <v>-589839.30091295252</v>
      </c>
      <c r="D16" s="43">
        <v>-629145.2352039977</v>
      </c>
      <c r="E16" s="113">
        <f t="shared" ref="E16:F16" si="1">SUM(E2:E15)</f>
        <v>2152981.6642623884</v>
      </c>
      <c r="F16" s="43">
        <f t="shared" si="1"/>
        <v>1765797.1329534571</v>
      </c>
      <c r="G16" s="43">
        <f t="shared" ref="G16:L16" si="2">SUM(G2:G15)</f>
        <v>1896221.280448789</v>
      </c>
      <c r="H16" s="43">
        <f t="shared" si="2"/>
        <v>1890160.0522484186</v>
      </c>
      <c r="I16" s="43">
        <f t="shared" si="2"/>
        <v>2172368.7973092971</v>
      </c>
      <c r="J16" s="43">
        <f t="shared" si="2"/>
        <v>1914630.3438462592</v>
      </c>
      <c r="K16" s="43">
        <f t="shared" si="2"/>
        <v>1763643.0681697475</v>
      </c>
      <c r="L16" s="43">
        <f t="shared" si="2"/>
        <v>2297629.44</v>
      </c>
      <c r="M16" s="43">
        <f t="shared" ref="M16:R16" si="3">SUM(M2:M15)</f>
        <v>1173703</v>
      </c>
      <c r="N16" s="43">
        <f t="shared" si="3"/>
        <v>2067522.1818931077</v>
      </c>
      <c r="O16" s="43">
        <f t="shared" si="3"/>
        <v>2164750.7412880901</v>
      </c>
      <c r="P16" s="43">
        <f t="shared" si="3"/>
        <v>2109759.9948823964</v>
      </c>
      <c r="Q16" s="43">
        <f t="shared" si="3"/>
        <v>1978916.2619515972</v>
      </c>
      <c r="R16" s="43">
        <f t="shared" si="3"/>
        <v>1461664.1180709116</v>
      </c>
      <c r="S16" s="43">
        <f t="shared" ref="S16:X16" si="4">SUM(S2:S15)</f>
        <v>1839330.3485178347</v>
      </c>
      <c r="T16" s="43">
        <f t="shared" si="4"/>
        <v>1454747.255145343</v>
      </c>
      <c r="U16" s="43">
        <f t="shared" si="4"/>
        <v>1736189.00927907</v>
      </c>
      <c r="V16" s="43">
        <f t="shared" si="4"/>
        <v>1438122.6228119342</v>
      </c>
      <c r="W16" s="43">
        <f t="shared" si="4"/>
        <v>1119014.1000000001</v>
      </c>
      <c r="X16" s="79">
        <f t="shared" si="4"/>
        <v>1138730</v>
      </c>
    </row>
    <row r="17" spans="1:26" x14ac:dyDescent="0.25"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W17" s="1"/>
      <c r="X17" s="1"/>
    </row>
    <row r="18" spans="1:26" ht="13.8" thickBot="1" x14ac:dyDescent="0.3">
      <c r="B18" s="36"/>
      <c r="C18" s="1"/>
      <c r="D18" s="1"/>
      <c r="E18" s="121"/>
      <c r="F18" s="36"/>
      <c r="G18" s="36"/>
      <c r="H18" s="36"/>
      <c r="I18" s="36"/>
      <c r="J18" s="36"/>
      <c r="K18" s="36"/>
      <c r="L18" s="36"/>
      <c r="M18" s="36"/>
      <c r="N18" s="36"/>
      <c r="W18" s="1"/>
      <c r="X18" s="1"/>
    </row>
    <row r="19" spans="1:26" ht="13.8" thickBot="1" x14ac:dyDescent="0.3">
      <c r="A19" s="23" t="s">
        <v>24</v>
      </c>
      <c r="B19" s="24" t="s">
        <v>169</v>
      </c>
      <c r="C19" s="114" t="s">
        <v>178</v>
      </c>
      <c r="D19" s="69" t="s">
        <v>170</v>
      </c>
      <c r="E19" s="116">
        <v>46113</v>
      </c>
      <c r="F19" s="99">
        <v>45748</v>
      </c>
      <c r="G19" s="99">
        <v>45383</v>
      </c>
      <c r="H19" s="99">
        <v>45017</v>
      </c>
      <c r="I19" s="99">
        <v>44652</v>
      </c>
      <c r="J19" s="99">
        <v>44287</v>
      </c>
      <c r="K19" s="99">
        <v>43922</v>
      </c>
      <c r="L19" s="99">
        <v>43556</v>
      </c>
      <c r="M19" s="99">
        <v>43191</v>
      </c>
      <c r="N19" s="25">
        <v>42826</v>
      </c>
      <c r="O19" s="25">
        <v>42461</v>
      </c>
      <c r="P19" s="25">
        <v>42095</v>
      </c>
      <c r="Q19" s="25">
        <v>41730</v>
      </c>
      <c r="R19" s="25">
        <v>41365</v>
      </c>
      <c r="S19" s="25">
        <v>41000</v>
      </c>
      <c r="T19" s="25">
        <v>40634</v>
      </c>
      <c r="U19" s="25">
        <v>40269</v>
      </c>
      <c r="V19" s="25">
        <v>39904</v>
      </c>
      <c r="W19" s="25">
        <v>39539</v>
      </c>
      <c r="X19" s="26">
        <v>39173</v>
      </c>
    </row>
    <row r="20" spans="1:26" x14ac:dyDescent="0.25">
      <c r="A20" s="20" t="s">
        <v>0</v>
      </c>
      <c r="B20" s="27">
        <f t="shared" ref="B20:B33" si="5">IFERROR(((E20-F20)/F20),"")</f>
        <v>0.7102193155003369</v>
      </c>
      <c r="C20" s="106">
        <v>-38097.83081826393</v>
      </c>
      <c r="D20" s="1">
        <v>-30741.679290727589</v>
      </c>
      <c r="E20" s="91">
        <f>Belgium!E$20</f>
        <v>52468.083880701408</v>
      </c>
      <c r="F20" s="1">
        <f>Belgium!F$20</f>
        <v>30679.155243520036</v>
      </c>
      <c r="G20" s="1">
        <f>Belgium!G$20</f>
        <v>36623.380618946801</v>
      </c>
      <c r="H20" s="1">
        <f>Belgium!H$20</f>
        <v>30814.7004332986</v>
      </c>
      <c r="I20" s="1">
        <f>Belgium!I$20</f>
        <v>78763.542108121823</v>
      </c>
      <c r="J20" s="1">
        <f>Belgium!J$20</f>
        <v>91428</v>
      </c>
      <c r="K20" s="1">
        <f>Belgium!K$20</f>
        <v>58200</v>
      </c>
      <c r="L20" s="1">
        <f>Belgium!L$20</f>
        <v>71097</v>
      </c>
      <c r="M20" s="1">
        <f>Belgium!M$20</f>
        <v>40294</v>
      </c>
      <c r="N20" s="1">
        <f>Belgium!N$20</f>
        <v>57025</v>
      </c>
      <c r="O20" s="1">
        <f>Belgium!O$20</f>
        <v>86331</v>
      </c>
      <c r="P20" s="1">
        <f>Belgium!P$20</f>
        <v>66712</v>
      </c>
      <c r="Q20" s="1">
        <f>Belgium!Q$20</f>
        <v>38135</v>
      </c>
      <c r="R20" s="1">
        <f>Belgium!R$20</f>
        <v>29495</v>
      </c>
      <c r="S20" s="1">
        <f>Belgium!S$20</f>
        <v>34230</v>
      </c>
      <c r="T20" s="1">
        <f>Belgium!T$20</f>
        <v>50300</v>
      </c>
      <c r="U20" s="1">
        <v>44300</v>
      </c>
      <c r="V20" s="1">
        <v>8500</v>
      </c>
      <c r="W20" s="1">
        <v>62800</v>
      </c>
      <c r="X20" s="29">
        <v>68000</v>
      </c>
    </row>
    <row r="21" spans="1:26" x14ac:dyDescent="0.25">
      <c r="A21" s="20" t="s">
        <v>30</v>
      </c>
      <c r="B21" s="27">
        <f t="shared" si="5"/>
        <v>-8.9775561097256859E-2</v>
      </c>
      <c r="C21" s="106">
        <v>-372</v>
      </c>
      <c r="D21" s="1">
        <v>-203</v>
      </c>
      <c r="E21" s="91">
        <f>'Czech Republic'!E$21</f>
        <v>365</v>
      </c>
      <c r="F21" s="1">
        <f>'Czech Republic'!F$21</f>
        <v>401</v>
      </c>
      <c r="G21" s="1">
        <f>'Czech Republic'!G$21</f>
        <v>577</v>
      </c>
      <c r="H21" s="1">
        <f>'Czech Republic'!H$21</f>
        <v>65</v>
      </c>
      <c r="I21" s="1">
        <f>'Czech Republic'!I$21</f>
        <v>88</v>
      </c>
      <c r="J21" s="1">
        <f>'Czech Republic'!J$21</f>
        <v>911</v>
      </c>
      <c r="K21" s="1">
        <f>'Czech Republic'!K$21</f>
        <v>722</v>
      </c>
      <c r="L21" s="1">
        <f>'Czech Republic'!L$21</f>
        <v>1133</v>
      </c>
      <c r="M21" s="1">
        <f>'Czech Republic'!M$21</f>
        <v>845</v>
      </c>
      <c r="N21" s="1">
        <f>'Czech Republic'!N$21</f>
        <v>518</v>
      </c>
      <c r="O21" s="1">
        <f>'Czech Republic'!O$21</f>
        <v>706</v>
      </c>
      <c r="P21" s="1">
        <f>'Czech Republic'!P$21</f>
        <v>3</v>
      </c>
      <c r="Q21" s="1">
        <f>'Czech Republic'!Q$21</f>
        <v>917</v>
      </c>
      <c r="R21" s="1">
        <f>'Czech Republic'!R$21</f>
        <v>0</v>
      </c>
      <c r="S21" s="1">
        <f>'Czech Republic'!S$21</f>
        <v>16</v>
      </c>
      <c r="T21" s="1">
        <f>'Czech Republic'!T$21</f>
        <v>18</v>
      </c>
      <c r="U21" s="1">
        <v>0</v>
      </c>
      <c r="V21" s="1">
        <v>0</v>
      </c>
      <c r="W21" s="1">
        <v>0</v>
      </c>
      <c r="X21" s="29">
        <v>0</v>
      </c>
    </row>
    <row r="22" spans="1:26" x14ac:dyDescent="0.25">
      <c r="A22" s="20" t="s">
        <v>39</v>
      </c>
      <c r="B22" s="27" t="str">
        <f t="shared" si="5"/>
        <v/>
      </c>
      <c r="C22" s="106">
        <v>0</v>
      </c>
      <c r="D22" s="1">
        <v>0</v>
      </c>
      <c r="E22" s="91">
        <f>Denmark!E$27</f>
        <v>0</v>
      </c>
      <c r="F22" s="1">
        <f>Denmark!F$27</f>
        <v>0</v>
      </c>
      <c r="G22" s="1">
        <f>Denmark!G$27</f>
        <v>0</v>
      </c>
      <c r="H22" s="1">
        <f>Denmark!H$27</f>
        <v>0</v>
      </c>
      <c r="I22" s="1">
        <f>Denmark!I$27</f>
        <v>0</v>
      </c>
      <c r="J22" s="1">
        <f>Denmark!J$27</f>
        <v>0</v>
      </c>
      <c r="K22" s="1">
        <f>Denmark!K$27</f>
        <v>19</v>
      </c>
      <c r="L22" s="1">
        <f>Denmark!L$27</f>
        <v>121</v>
      </c>
      <c r="M22" s="1">
        <f>Denmark!M$27</f>
        <v>0</v>
      </c>
      <c r="N22" s="1">
        <f>Denmark!N$27</f>
        <v>0</v>
      </c>
      <c r="O22" s="1">
        <f>Denmark!O$27</f>
        <v>72</v>
      </c>
      <c r="P22" s="1">
        <f>Denmark!P$27</f>
        <v>0</v>
      </c>
      <c r="Q22" s="1">
        <f>Denmark!Q$27</f>
        <v>0</v>
      </c>
      <c r="R22" s="1">
        <f>Denmark!R$27</f>
        <v>0</v>
      </c>
      <c r="S22" s="1">
        <f>Denmark!S$27</f>
        <v>0</v>
      </c>
      <c r="T22" s="1">
        <f>Denmark!T$27</f>
        <v>0</v>
      </c>
      <c r="U22" s="1">
        <v>0</v>
      </c>
      <c r="V22" s="1">
        <v>0</v>
      </c>
      <c r="W22" s="1">
        <v>0</v>
      </c>
      <c r="X22" s="29">
        <v>0</v>
      </c>
      <c r="Z22" s="3"/>
    </row>
    <row r="23" spans="1:26" x14ac:dyDescent="0.25">
      <c r="A23" s="39" t="s">
        <v>131</v>
      </c>
      <c r="B23" s="27">
        <f t="shared" si="5"/>
        <v>6.5068679001237251E-2</v>
      </c>
      <c r="C23" s="106">
        <v>-2471.2186999999994</v>
      </c>
      <c r="D23" s="1">
        <v>-3425.2802000000001</v>
      </c>
      <c r="E23" s="91">
        <f>France!E$38</f>
        <v>3030.2482</v>
      </c>
      <c r="F23" s="1">
        <f>France!F$38</f>
        <v>2845.12</v>
      </c>
      <c r="G23" s="1">
        <f>France!G$38</f>
        <v>1612</v>
      </c>
      <c r="H23" s="1">
        <f>France!H$38</f>
        <v>745</v>
      </c>
      <c r="I23" s="1">
        <f>France!I$38</f>
        <v>403</v>
      </c>
      <c r="J23" s="1">
        <f>France!J$38</f>
        <v>1283</v>
      </c>
      <c r="K23" s="1">
        <f>France!K$38</f>
        <v>968</v>
      </c>
      <c r="L23" s="1">
        <f>France!L$38</f>
        <v>1889</v>
      </c>
      <c r="M23" s="1">
        <f>France!M$38</f>
        <v>1499</v>
      </c>
      <c r="N23" s="1">
        <f>France!N$38</f>
        <v>1238</v>
      </c>
      <c r="O23" s="1">
        <f>France!O$38</f>
        <v>820</v>
      </c>
      <c r="P23" s="1">
        <f>France!P$38</f>
        <v>2068</v>
      </c>
      <c r="Q23" s="1">
        <f>France!Q$38</f>
        <v>2056</v>
      </c>
      <c r="R23" s="1">
        <f>France!R$38</f>
        <v>235</v>
      </c>
      <c r="S23" s="1">
        <f>France!S$38</f>
        <v>3695</v>
      </c>
      <c r="T23" s="1">
        <f>France!T$38</f>
        <v>0</v>
      </c>
      <c r="U23" s="1">
        <f>France!U$38</f>
        <v>0</v>
      </c>
      <c r="V23" s="1">
        <f>France!V$38</f>
        <v>0</v>
      </c>
      <c r="W23" s="1">
        <f>France!W$38</f>
        <v>0</v>
      </c>
      <c r="X23" s="29">
        <f>France!X$38</f>
        <v>0</v>
      </c>
      <c r="Z23" s="3"/>
    </row>
    <row r="24" spans="1:26" x14ac:dyDescent="0.25">
      <c r="A24" s="20" t="s">
        <v>27</v>
      </c>
      <c r="B24" s="27">
        <f t="shared" si="5"/>
        <v>-0.18726235741444866</v>
      </c>
      <c r="C24" s="106">
        <v>-1588</v>
      </c>
      <c r="D24" s="1">
        <v>-1011</v>
      </c>
      <c r="E24" s="91">
        <f>Germany!E$26</f>
        <v>855</v>
      </c>
      <c r="F24" s="1">
        <f>Germany!F$26</f>
        <v>1052</v>
      </c>
      <c r="G24" s="1">
        <f>Germany!G$26</f>
        <v>1319</v>
      </c>
      <c r="H24" s="1">
        <f>Germany!H$26</f>
        <v>158</v>
      </c>
      <c r="I24" s="1">
        <f>Germany!I$26</f>
        <v>583</v>
      </c>
      <c r="J24" s="1">
        <f>Germany!J$26</f>
        <v>612</v>
      </c>
      <c r="K24" s="1">
        <f>Germany!K$26</f>
        <v>394</v>
      </c>
      <c r="L24" s="1">
        <f>Germany!L$26</f>
        <v>821</v>
      </c>
      <c r="M24" s="1">
        <f>Germany!M$26</f>
        <v>393</v>
      </c>
      <c r="N24" s="1">
        <f>Germany!N$26</f>
        <v>53</v>
      </c>
      <c r="O24" s="1">
        <f>Germany!O$26</f>
        <v>119</v>
      </c>
      <c r="P24" s="1">
        <f>Germany!P$26</f>
        <v>585</v>
      </c>
      <c r="Q24" s="1">
        <f>Germany!Q$26</f>
        <v>360</v>
      </c>
      <c r="R24" s="1">
        <f>Germany!R$26</f>
        <v>66</v>
      </c>
      <c r="S24" s="1">
        <f>Germany!S$26</f>
        <v>361</v>
      </c>
      <c r="T24" s="1">
        <f>Germany!T$26</f>
        <v>9</v>
      </c>
      <c r="U24" s="1">
        <v>147</v>
      </c>
      <c r="V24" s="1">
        <v>111</v>
      </c>
      <c r="W24" s="1">
        <v>184</v>
      </c>
      <c r="X24" s="29">
        <v>84</v>
      </c>
      <c r="Z24" s="3"/>
    </row>
    <row r="25" spans="1:26" x14ac:dyDescent="0.25">
      <c r="A25" s="39" t="s">
        <v>16</v>
      </c>
      <c r="B25" s="27">
        <f t="shared" si="5"/>
        <v>-0.63814103420458523</v>
      </c>
      <c r="C25" s="106">
        <v>-13040.164140392937</v>
      </c>
      <c r="D25" s="1">
        <v>-17500.663528260291</v>
      </c>
      <c r="E25" s="91">
        <f>Italy!E$29</f>
        <v>5266.2531424692734</v>
      </c>
      <c r="F25" s="1">
        <f>Italy!F$29</f>
        <v>14553.330552120879</v>
      </c>
      <c r="G25" s="1">
        <f>Italy!G$29</f>
        <v>0</v>
      </c>
      <c r="H25" s="1">
        <f>Italy!H$29</f>
        <v>8573.5368192325986</v>
      </c>
      <c r="I25" s="165"/>
      <c r="J25" s="165"/>
      <c r="K25" s="165"/>
      <c r="L25" s="165"/>
      <c r="M25" s="165"/>
      <c r="N25" s="165"/>
      <c r="O25" s="165"/>
      <c r="P25" s="165"/>
      <c r="Q25" s="165"/>
      <c r="R25" s="165"/>
      <c r="S25" s="165"/>
      <c r="T25" s="165"/>
      <c r="U25" s="165"/>
      <c r="V25" s="165"/>
      <c r="W25" s="165"/>
      <c r="X25" s="166"/>
      <c r="Z25" s="3"/>
    </row>
    <row r="26" spans="1:26" x14ac:dyDescent="0.25">
      <c r="A26" s="39" t="s">
        <v>31</v>
      </c>
      <c r="B26" s="27">
        <f t="shared" si="5"/>
        <v>2</v>
      </c>
      <c r="C26" s="106">
        <v>-8500</v>
      </c>
      <c r="D26" s="1">
        <v>-8500</v>
      </c>
      <c r="E26" s="91">
        <f>Poland!E$25</f>
        <v>9000</v>
      </c>
      <c r="F26" s="1">
        <f>Poland!F$25</f>
        <v>3000</v>
      </c>
      <c r="G26" s="1">
        <f>Poland!G$25</f>
        <v>4000</v>
      </c>
      <c r="H26" s="1">
        <f>Poland!H$25</f>
        <v>1000</v>
      </c>
      <c r="I26" s="1">
        <f>Poland!I$25</f>
        <v>1000</v>
      </c>
      <c r="J26" s="1">
        <f>Poland!J$25</f>
        <v>1000</v>
      </c>
      <c r="K26" s="1">
        <f>Poland!K$25</f>
        <v>0</v>
      </c>
      <c r="L26" s="1">
        <f>Poland!L$25</f>
        <v>0</v>
      </c>
      <c r="M26" s="1">
        <f>Poland!M$25</f>
        <v>0</v>
      </c>
      <c r="N26" s="37">
        <f>Poland!N$25</f>
        <v>0</v>
      </c>
      <c r="O26" s="37">
        <f>Poland!O$25</f>
        <v>1000</v>
      </c>
      <c r="P26" s="37">
        <f>Poland!P$25</f>
        <v>0</v>
      </c>
      <c r="Q26" s="37">
        <f>Poland!Q$25</f>
        <v>2000</v>
      </c>
      <c r="R26" s="37">
        <f>Poland!R$25</f>
        <v>0</v>
      </c>
      <c r="S26" s="37">
        <f>Poland!S$25</f>
        <v>0</v>
      </c>
      <c r="T26" s="37">
        <f>Poland!T$25</f>
        <v>0</v>
      </c>
      <c r="U26" s="37">
        <v>4000</v>
      </c>
      <c r="V26" s="37">
        <v>1000</v>
      </c>
      <c r="W26" s="37">
        <v>0</v>
      </c>
      <c r="X26" s="59">
        <v>2000</v>
      </c>
      <c r="Z26" s="3"/>
    </row>
    <row r="27" spans="1:26" hidden="1" x14ac:dyDescent="0.25">
      <c r="A27" s="39" t="s">
        <v>145</v>
      </c>
      <c r="B27" s="122" t="str">
        <f t="shared" si="5"/>
        <v/>
      </c>
      <c r="C27" s="123">
        <v>0</v>
      </c>
      <c r="D27" s="76">
        <v>-35838</v>
      </c>
      <c r="E27" s="124">
        <f>Portugal!E$14</f>
        <v>0</v>
      </c>
      <c r="F27" s="1">
        <f>Portugal!F$14</f>
        <v>0</v>
      </c>
      <c r="G27" s="1">
        <f>Portugal!G$14</f>
        <v>0</v>
      </c>
      <c r="H27" s="1">
        <f>Portugal!H$14</f>
        <v>0</v>
      </c>
      <c r="I27" s="1">
        <f>Portugal!I$14</f>
        <v>0</v>
      </c>
      <c r="J27" s="1">
        <f>Portugal!J$14</f>
        <v>0</v>
      </c>
      <c r="K27" s="1">
        <f>Portugal!K$14</f>
        <v>0</v>
      </c>
      <c r="L27" s="1">
        <f>Portugal!L$14</f>
        <v>24870</v>
      </c>
      <c r="M27" s="1">
        <f>Portugal!M$14</f>
        <v>0</v>
      </c>
      <c r="N27" s="37">
        <f>Portugal!N$14</f>
        <v>0</v>
      </c>
      <c r="O27" s="37">
        <f>Portugal!O$14</f>
        <v>0</v>
      </c>
      <c r="P27" s="37">
        <f>Portugal!P$14</f>
        <v>0</v>
      </c>
      <c r="Q27" s="37">
        <f>Portugal!Q$14</f>
        <v>0</v>
      </c>
      <c r="R27" s="37">
        <f>Portugal!R$14</f>
        <v>0</v>
      </c>
      <c r="S27" s="37">
        <f>Portugal!S$14</f>
        <v>0</v>
      </c>
      <c r="T27" s="37">
        <f>Portugal!T$14</f>
        <v>7940</v>
      </c>
      <c r="U27" s="37"/>
      <c r="V27" s="37"/>
      <c r="W27" s="37"/>
      <c r="X27" s="59"/>
      <c r="Z27" s="3"/>
    </row>
    <row r="28" spans="1:26" hidden="1" x14ac:dyDescent="0.25">
      <c r="A28" s="39" t="s">
        <v>165</v>
      </c>
      <c r="B28" s="27" t="str">
        <f t="shared" si="5"/>
        <v/>
      </c>
      <c r="C28" s="106">
        <v>0</v>
      </c>
      <c r="D28" s="1">
        <v>0</v>
      </c>
      <c r="E28" s="91"/>
      <c r="F28" s="1"/>
      <c r="G28" s="1"/>
      <c r="H28" s="1"/>
      <c r="I28" s="1"/>
      <c r="J28" s="1"/>
      <c r="K28" s="1"/>
      <c r="L28" s="1"/>
      <c r="M28" s="1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59"/>
      <c r="Z28" s="3"/>
    </row>
    <row r="29" spans="1:26" x14ac:dyDescent="0.25">
      <c r="A29" s="20" t="s">
        <v>36</v>
      </c>
      <c r="B29" s="27">
        <f t="shared" si="5"/>
        <v>0.48860792545300868</v>
      </c>
      <c r="C29" s="106">
        <v>-7633.4265205339325</v>
      </c>
      <c r="D29" s="1">
        <v>-5504.6491303563598</v>
      </c>
      <c r="E29" s="91">
        <f>Spain!E$17</f>
        <v>17108.688703783344</v>
      </c>
      <c r="F29" s="1">
        <f>Spain!F$17</f>
        <v>11493.079145455227</v>
      </c>
      <c r="G29" s="1">
        <f>Spain!G$17</f>
        <v>25581</v>
      </c>
      <c r="H29" s="1">
        <f>Spain!H$17</f>
        <v>17496.721775777805</v>
      </c>
      <c r="I29" s="1">
        <f>Spain!I$17</f>
        <v>28430.540454000802</v>
      </c>
      <c r="J29" s="1">
        <f>Spain!J$17</f>
        <v>25404.807543979587</v>
      </c>
      <c r="K29" s="1">
        <f>Spain!K$17</f>
        <v>28465.831906892403</v>
      </c>
      <c r="L29" s="1">
        <f>Spain!L$17</f>
        <v>26398</v>
      </c>
      <c r="M29" s="1">
        <f>Spain!M$17</f>
        <v>33499</v>
      </c>
      <c r="N29" s="1">
        <f>Spain!N$17</f>
        <v>23171.754472467466</v>
      </c>
      <c r="O29" s="1">
        <f>Spain!O$17</f>
        <v>30377.033850910571</v>
      </c>
      <c r="P29" s="1">
        <f>Spain!P$17</f>
        <v>34942.833516708422</v>
      </c>
      <c r="Q29" s="1">
        <f>Spain!Q$17</f>
        <v>40301.007640853895</v>
      </c>
      <c r="R29" s="1">
        <f>Spain!R$17</f>
        <v>14668.174493191973</v>
      </c>
      <c r="S29" s="1">
        <f>Spain!S$17</f>
        <v>58975.560223460518</v>
      </c>
      <c r="T29" s="1">
        <f>Spain!T$17</f>
        <v>50980</v>
      </c>
      <c r="U29" s="1">
        <v>35176.848959344396</v>
      </c>
      <c r="V29" s="1">
        <v>36206.771489076338</v>
      </c>
      <c r="W29" s="1">
        <v>34091</v>
      </c>
      <c r="X29" s="29">
        <v>40882</v>
      </c>
      <c r="Z29" s="3"/>
    </row>
    <row r="30" spans="1:26" x14ac:dyDescent="0.25">
      <c r="A30" s="20" t="s">
        <v>59</v>
      </c>
      <c r="B30" s="27">
        <f t="shared" si="5"/>
        <v>-0.99237732253454025</v>
      </c>
      <c r="C30" s="106">
        <v>-748</v>
      </c>
      <c r="D30" s="1">
        <v>-2349</v>
      </c>
      <c r="E30" s="91">
        <f>Switzerland!E$28</f>
        <v>16</v>
      </c>
      <c r="F30" s="1">
        <f>Switzerland!F$28</f>
        <v>2099</v>
      </c>
      <c r="G30" s="1">
        <f>Switzerland!G$28</f>
        <v>254</v>
      </c>
      <c r="H30" s="1">
        <f>Switzerland!H$28</f>
        <v>63</v>
      </c>
      <c r="I30" s="1">
        <f>Switzerland!I$28</f>
        <v>713</v>
      </c>
      <c r="J30" s="1">
        <f>Switzerland!J$28</f>
        <v>1635</v>
      </c>
      <c r="K30" s="1">
        <f>Switzerland!K$28</f>
        <v>2459</v>
      </c>
      <c r="L30" s="1">
        <f>Switzerland!L$28</f>
        <v>2014</v>
      </c>
      <c r="M30" s="1">
        <f>Switzerland!M$28</f>
        <v>0</v>
      </c>
      <c r="N30" s="1">
        <f>Switzerland!N$28</f>
        <v>427</v>
      </c>
      <c r="O30" s="1">
        <f>Switzerland!O$28</f>
        <v>356</v>
      </c>
      <c r="P30" s="1">
        <f>Switzerland!P$28</f>
        <v>1621</v>
      </c>
      <c r="Q30" s="1">
        <f>Switzerland!Q$28</f>
        <v>750</v>
      </c>
      <c r="R30" s="1">
        <f>Switzerland!R$28</f>
        <v>28</v>
      </c>
      <c r="S30" s="1">
        <f>Switzerland!S$28</f>
        <v>2933</v>
      </c>
      <c r="T30" s="1">
        <f>Switzerland!T$28</f>
        <v>79</v>
      </c>
      <c r="U30" s="1">
        <v>1633</v>
      </c>
      <c r="V30" s="1">
        <v>0</v>
      </c>
      <c r="W30" s="1">
        <v>1756</v>
      </c>
      <c r="X30" s="29">
        <v>33</v>
      </c>
      <c r="Z30" s="3"/>
    </row>
    <row r="31" spans="1:26" x14ac:dyDescent="0.25">
      <c r="A31" s="20" t="s">
        <v>1</v>
      </c>
      <c r="B31" s="27">
        <f t="shared" si="5"/>
        <v>0.25892283988203357</v>
      </c>
      <c r="C31" s="106">
        <v>-32938.50999999998</v>
      </c>
      <c r="D31" s="1">
        <v>-28935.5</v>
      </c>
      <c r="E31" s="91">
        <f>Netherlands!E$15</f>
        <v>118884.49000000002</v>
      </c>
      <c r="F31" s="1">
        <f>Netherlands!F$15</f>
        <v>94433.5</v>
      </c>
      <c r="G31" s="1">
        <f>Netherlands!G$15</f>
        <v>109763.3</v>
      </c>
      <c r="H31" s="1">
        <f>Netherlands!H$15</f>
        <v>100080</v>
      </c>
      <c r="I31" s="1">
        <f>Netherlands!I$15</f>
        <v>91427</v>
      </c>
      <c r="J31" s="1">
        <f>Netherlands!J$15</f>
        <v>106333</v>
      </c>
      <c r="K31" s="1">
        <f>Netherlands!K$15</f>
        <v>91301</v>
      </c>
      <c r="L31" s="1">
        <f>Netherlands!L$15</f>
        <v>107627</v>
      </c>
      <c r="M31" s="1">
        <f>Netherlands!M$15</f>
        <v>92431</v>
      </c>
      <c r="N31" s="1">
        <f>Netherlands!N$15</f>
        <v>99869</v>
      </c>
      <c r="O31" s="1">
        <f>Netherlands!O$15</f>
        <v>101369</v>
      </c>
      <c r="P31" s="1">
        <f>Netherlands!P$15</f>
        <v>92263</v>
      </c>
      <c r="Q31" s="1">
        <f>Netherlands!Q$15</f>
        <v>84200</v>
      </c>
      <c r="R31" s="1">
        <f>Netherlands!R$15</f>
        <v>42000</v>
      </c>
      <c r="S31" s="1">
        <f>Netherlands!S$15</f>
        <v>75000</v>
      </c>
      <c r="T31" s="1">
        <f>Netherlands!T$15</f>
        <v>59000</v>
      </c>
      <c r="U31" s="1">
        <v>64000</v>
      </c>
      <c r="V31" s="1">
        <v>22000</v>
      </c>
      <c r="W31" s="1">
        <v>41000</v>
      </c>
      <c r="X31" s="29">
        <v>47000</v>
      </c>
    </row>
    <row r="32" spans="1:26" ht="13.8" thickBot="1" x14ac:dyDescent="0.3">
      <c r="A32" s="30" t="s">
        <v>168</v>
      </c>
      <c r="B32" s="28">
        <f t="shared" si="5"/>
        <v>1.1889862327909888</v>
      </c>
      <c r="C32" s="105">
        <v>-2343</v>
      </c>
      <c r="D32" s="10">
        <v>-2091</v>
      </c>
      <c r="E32" s="94">
        <f>UK!E$19</f>
        <v>5247</v>
      </c>
      <c r="F32" s="10">
        <f>UK!F$19</f>
        <v>2397</v>
      </c>
      <c r="G32" s="10">
        <f>UK!G$19</f>
        <v>957</v>
      </c>
      <c r="H32" s="10">
        <f>UK!H$19</f>
        <v>2080</v>
      </c>
      <c r="I32" s="10">
        <f>UK!I$19</f>
        <v>1393</v>
      </c>
      <c r="J32" s="10">
        <f>UK!J$19</f>
        <v>1823</v>
      </c>
      <c r="K32" s="10">
        <f>UK!K$19</f>
        <v>143</v>
      </c>
      <c r="L32" s="10">
        <f>UK!L$19</f>
        <v>751</v>
      </c>
      <c r="M32" s="10">
        <f>UK!M$19</f>
        <v>898</v>
      </c>
      <c r="N32" s="10">
        <f>UK!N$19</f>
        <v>2150</v>
      </c>
      <c r="O32" s="10">
        <f>UK!O$19</f>
        <v>1850</v>
      </c>
      <c r="P32" s="10">
        <f>UK!P$19</f>
        <v>1500</v>
      </c>
      <c r="Q32" s="10">
        <f>UK!Q$19</f>
        <v>2800</v>
      </c>
      <c r="R32" s="10">
        <f>UK!R$19</f>
        <v>2500</v>
      </c>
      <c r="S32" s="10">
        <f>UK!S$19</f>
        <v>2500</v>
      </c>
      <c r="T32" s="10">
        <f>UK!T$19</f>
        <v>2500</v>
      </c>
      <c r="U32" s="10">
        <v>2900</v>
      </c>
      <c r="V32" s="10">
        <v>1000</v>
      </c>
      <c r="W32" s="10">
        <v>800</v>
      </c>
      <c r="X32" s="31">
        <v>1000</v>
      </c>
      <c r="Z32" s="3"/>
    </row>
    <row r="33" spans="1:25" ht="13.8" thickBot="1" x14ac:dyDescent="0.3">
      <c r="A33" s="32" t="s">
        <v>22</v>
      </c>
      <c r="B33" s="33">
        <f t="shared" si="5"/>
        <v>0.302464655745601</v>
      </c>
      <c r="C33" s="118">
        <v>-107732.15017919076</v>
      </c>
      <c r="D33" s="34">
        <v>-136099.77214934424</v>
      </c>
      <c r="E33" s="113">
        <f t="shared" ref="E33:F33" si="6">SUM(E20:E32)</f>
        <v>212240.76392695404</v>
      </c>
      <c r="F33" s="34">
        <f t="shared" si="6"/>
        <v>162953.18494109614</v>
      </c>
      <c r="G33" s="34">
        <f t="shared" ref="G33:L33" si="7">SUM(G20:G32)</f>
        <v>180686.68061894679</v>
      </c>
      <c r="H33" s="34">
        <f t="shared" si="7"/>
        <v>161075.95902830901</v>
      </c>
      <c r="I33" s="34">
        <f t="shared" si="7"/>
        <v>202801.08256212261</v>
      </c>
      <c r="J33" s="34">
        <f t="shared" si="7"/>
        <v>230429.80754397958</v>
      </c>
      <c r="K33" s="34">
        <f t="shared" si="7"/>
        <v>182671.83190689242</v>
      </c>
      <c r="L33" s="34">
        <f t="shared" si="7"/>
        <v>236721</v>
      </c>
      <c r="M33" s="34">
        <f t="shared" ref="M33:R33" si="8">SUM(M20:M32)</f>
        <v>169859</v>
      </c>
      <c r="N33" s="34">
        <f t="shared" si="8"/>
        <v>184451.75447246747</v>
      </c>
      <c r="O33" s="34">
        <f t="shared" si="8"/>
        <v>223000.03385091058</v>
      </c>
      <c r="P33" s="34">
        <f t="shared" si="8"/>
        <v>199694.83351670843</v>
      </c>
      <c r="Q33" s="34">
        <f t="shared" si="8"/>
        <v>171519.0076408539</v>
      </c>
      <c r="R33" s="34">
        <f t="shared" si="8"/>
        <v>88992.174493191967</v>
      </c>
      <c r="S33" s="34">
        <f t="shared" ref="S33:X33" si="9">SUM(S20:S32)</f>
        <v>177710.56022346052</v>
      </c>
      <c r="T33" s="34">
        <f t="shared" si="9"/>
        <v>170826</v>
      </c>
      <c r="U33" s="34">
        <f t="shared" si="9"/>
        <v>152156.84895934438</v>
      </c>
      <c r="V33" s="34">
        <f t="shared" si="9"/>
        <v>68817.771489076345</v>
      </c>
      <c r="W33" s="34">
        <f t="shared" si="9"/>
        <v>140631</v>
      </c>
      <c r="X33" s="35">
        <f t="shared" si="9"/>
        <v>158999</v>
      </c>
    </row>
    <row r="34" spans="1:25" x14ac:dyDescent="0.25">
      <c r="B34" s="3" t="s">
        <v>166</v>
      </c>
    </row>
    <row r="35" spans="1:25" x14ac:dyDescent="0.25">
      <c r="B35" s="46" t="s">
        <v>160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5" x14ac:dyDescent="0.25">
      <c r="B36" s="46" t="s">
        <v>167</v>
      </c>
      <c r="P36" s="3"/>
      <c r="W36" s="1"/>
      <c r="X36" s="1"/>
    </row>
    <row r="37" spans="1:25" hidden="1" x14ac:dyDescent="0.25">
      <c r="F37" s="1"/>
      <c r="G37" s="1">
        <v>256760.38381359936</v>
      </c>
      <c r="H37" s="1">
        <v>-124362.9192949615</v>
      </c>
      <c r="W37" s="1"/>
      <c r="X37" s="1"/>
    </row>
    <row r="38" spans="1:25" hidden="1" x14ac:dyDescent="0.25">
      <c r="A38" s="66"/>
      <c r="E38" s="1"/>
      <c r="F38" s="1"/>
      <c r="G38" s="1">
        <v>31554.083308007248</v>
      </c>
      <c r="H38" s="1">
        <v>1877.2259127871366</v>
      </c>
    </row>
    <row r="39" spans="1:25" ht="25.5" hidden="1" customHeight="1" x14ac:dyDescent="0.25">
      <c r="A39" s="12"/>
      <c r="B39" s="12"/>
      <c r="C39" s="125"/>
      <c r="D39" s="126"/>
      <c r="E39" s="126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3"/>
      <c r="X39" s="13"/>
    </row>
    <row r="40" spans="1:25" hidden="1" x14ac:dyDescent="0.25">
      <c r="C40" s="76"/>
      <c r="D40" s="76"/>
      <c r="E40" s="76"/>
      <c r="F40" s="1"/>
      <c r="G40" s="1">
        <f>G16+G33-'Europe - variety'!G32-'Europe - variety'!G44</f>
        <v>0</v>
      </c>
      <c r="H40" s="1">
        <f>H16+H33-'Europe - variety'!H32-'Europe - variety'!H44</f>
        <v>0</v>
      </c>
      <c r="W40" s="1"/>
      <c r="X40" s="1"/>
    </row>
    <row r="41" spans="1:25" ht="25.5" hidden="1" customHeight="1" x14ac:dyDescent="0.25">
      <c r="A41" s="16"/>
      <c r="B41" s="16"/>
      <c r="C41" s="127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7"/>
      <c r="X41" s="17"/>
      <c r="Y41" s="9"/>
    </row>
    <row r="42" spans="1:25" hidden="1" x14ac:dyDescent="0.25">
      <c r="C42" s="76"/>
      <c r="W42" s="14"/>
      <c r="X42" s="14"/>
      <c r="Y42" s="1"/>
    </row>
    <row r="43" spans="1:25" x14ac:dyDescent="0.25">
      <c r="C43" s="76"/>
      <c r="W43" s="14"/>
      <c r="X43" s="14"/>
      <c r="Y43" s="1"/>
    </row>
    <row r="44" spans="1:25" hidden="1" x14ac:dyDescent="0.25">
      <c r="C44" s="76"/>
      <c r="F44">
        <f>F16+F33+G16+G33-'Europe - variety'!F32-'Europe - variety'!G32-'Europe - variety'!F44-'Europe - variety'!G44</f>
        <v>6.6938810050487518E-10</v>
      </c>
      <c r="W44" s="14"/>
      <c r="X44" s="14"/>
      <c r="Y44" s="1"/>
    </row>
    <row r="45" spans="1:25" hidden="1" x14ac:dyDescent="0.25">
      <c r="C45" s="76"/>
      <c r="W45" s="14"/>
      <c r="X45" s="14"/>
      <c r="Y45" s="1"/>
    </row>
    <row r="46" spans="1:25" hidden="1" x14ac:dyDescent="0.25">
      <c r="C46" s="76"/>
      <c r="W46" s="14"/>
      <c r="X46" s="14"/>
      <c r="Y46" s="1"/>
    </row>
    <row r="47" spans="1:25" hidden="1" x14ac:dyDescent="0.25">
      <c r="B47" s="76"/>
      <c r="W47" s="14"/>
      <c r="X47" s="14"/>
      <c r="Y47" s="1"/>
    </row>
    <row r="48" spans="1:25" x14ac:dyDescent="0.25">
      <c r="C48" s="128"/>
      <c r="W48" s="14"/>
      <c r="X48" s="14"/>
      <c r="Y48" s="1"/>
    </row>
    <row r="49" spans="1:25" x14ac:dyDescent="0.25">
      <c r="A49" s="18"/>
      <c r="B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4"/>
      <c r="X49" s="14"/>
      <c r="Y49" s="1"/>
    </row>
    <row r="50" spans="1:25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4"/>
      <c r="X50" s="14"/>
      <c r="Y50" s="1"/>
    </row>
    <row r="51" spans="1:25" x14ac:dyDescent="0.25">
      <c r="A51" s="18"/>
      <c r="B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4"/>
      <c r="X51" s="14"/>
      <c r="Y51" s="1"/>
    </row>
    <row r="52" spans="1:25" x14ac:dyDescent="0.25">
      <c r="A52" s="18"/>
      <c r="B52" s="18"/>
      <c r="C52" s="1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4"/>
      <c r="X52" s="14"/>
      <c r="Y52" s="1"/>
    </row>
    <row r="53" spans="1:25" x14ac:dyDescent="0.25">
      <c r="A53" s="18"/>
      <c r="B53" s="18"/>
      <c r="C53" s="70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4"/>
      <c r="X53" s="14"/>
      <c r="Y53" s="1"/>
    </row>
    <row r="54" spans="1:25" x14ac:dyDescent="0.2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4"/>
      <c r="X54" s="14"/>
      <c r="Y54" s="1"/>
    </row>
    <row r="55" spans="1:25" x14ac:dyDescent="0.2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4"/>
      <c r="X55" s="14"/>
      <c r="Y55" s="1"/>
    </row>
    <row r="56" spans="1:25" x14ac:dyDescent="0.25">
      <c r="W56" s="14"/>
      <c r="X56" s="14"/>
      <c r="Y56" s="1"/>
    </row>
    <row r="57" spans="1:25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4"/>
      <c r="X57" s="14"/>
      <c r="Y57" s="2"/>
    </row>
    <row r="58" spans="1:25" x14ac:dyDescent="0.2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4"/>
      <c r="X58" s="14"/>
    </row>
    <row r="59" spans="1:25" x14ac:dyDescent="0.2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4"/>
      <c r="X59" s="14"/>
      <c r="Y59" s="1"/>
    </row>
    <row r="60" spans="1:25" x14ac:dyDescent="0.2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4"/>
      <c r="X60" s="14"/>
      <c r="Y60" s="1"/>
    </row>
    <row r="61" spans="1:25" x14ac:dyDescent="0.2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4"/>
      <c r="X61" s="14"/>
      <c r="Y61" s="1"/>
    </row>
    <row r="62" spans="1:25" x14ac:dyDescent="0.2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4"/>
      <c r="X62" s="14"/>
      <c r="Y62" s="1"/>
    </row>
    <row r="63" spans="1:25" x14ac:dyDescent="0.2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4"/>
      <c r="X63" s="14"/>
      <c r="Y63" s="1"/>
    </row>
    <row r="64" spans="1:25" x14ac:dyDescent="0.2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4"/>
      <c r="X64" s="14"/>
      <c r="Y64" s="2"/>
    </row>
    <row r="65" spans="1:24" ht="26.25" customHeight="1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5"/>
      <c r="X65" s="15"/>
    </row>
    <row r="66" spans="1:24" x14ac:dyDescent="0.25">
      <c r="W66" s="1"/>
      <c r="X66" s="1"/>
    </row>
    <row r="67" spans="1:24" x14ac:dyDescent="0.25">
      <c r="W67" s="1"/>
      <c r="X67" s="1"/>
    </row>
    <row r="68" spans="1:24" x14ac:dyDescent="0.25">
      <c r="W68" s="1"/>
      <c r="X68" s="1"/>
    </row>
    <row r="69" spans="1:24" x14ac:dyDescent="0.25">
      <c r="W69" s="11"/>
      <c r="X69" s="11"/>
    </row>
    <row r="70" spans="1:24" x14ac:dyDescent="0.25">
      <c r="W70" s="11"/>
      <c r="X70" s="11"/>
    </row>
    <row r="71" spans="1:24" x14ac:dyDescent="0.25">
      <c r="W71" s="1"/>
      <c r="X71" s="11"/>
    </row>
    <row r="72" spans="1:24" x14ac:dyDescent="0.25">
      <c r="W72" s="1"/>
      <c r="X72" s="1"/>
    </row>
    <row r="73" spans="1:24" x14ac:dyDescent="0.25">
      <c r="W73" s="1"/>
      <c r="X73" s="1"/>
    </row>
    <row r="74" spans="1:24" x14ac:dyDescent="0.25">
      <c r="W74" s="1"/>
      <c r="X74" s="1"/>
    </row>
    <row r="75" spans="1:24" x14ac:dyDescent="0.25">
      <c r="W75" s="1"/>
      <c r="X75" s="1"/>
    </row>
    <row r="76" spans="1:24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2"/>
      <c r="X76" s="2"/>
    </row>
    <row r="81" spans="1:22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</row>
  </sheetData>
  <phoneticPr fontId="2" type="noConversion"/>
  <conditionalFormatting sqref="E1">
    <cfRule type="expression" dxfId="30" priority="2">
      <formula>ISBLANK(XFD1)=FALSE</formula>
    </cfRule>
  </conditionalFormatting>
  <conditionalFormatting sqref="E19">
    <cfRule type="expression" dxfId="29" priority="1">
      <formula>ISBLANK(XFD19)=FALSE</formula>
    </cfRule>
  </conditionalFormatting>
  <conditionalFormatting sqref="F37:G38">
    <cfRule type="expression" dxfId="28" priority="5">
      <formula>NOT(ISBLANK(XFD37))</formula>
    </cfRule>
  </conditionalFormatting>
  <conditionalFormatting sqref="F37:H38">
    <cfRule type="cellIs" dxfId="27" priority="3" operator="notEqual">
      <formula>0</formula>
    </cfRule>
    <cfRule type="cellIs" dxfId="26" priority="4" operator="equal">
      <formula>0</formula>
    </cfRule>
  </conditionalFormatting>
  <pageMargins left="0.74803149606299213" right="0.74803149606299213" top="0.98425196850393704" bottom="0.98425196850393704" header="0.51181102362204722" footer="0.51181102362204722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DD47"/>
  <sheetViews>
    <sheetView topLeftCell="A4" zoomScaleNormal="65" workbookViewId="0"/>
  </sheetViews>
  <sheetFormatPr defaultColWidth="8.6640625" defaultRowHeight="13.2" x14ac:dyDescent="0.25"/>
  <cols>
    <col min="1" max="1" width="19.6640625" customWidth="1"/>
    <col min="2" max="2" width="12" bestFit="1" customWidth="1"/>
    <col min="3" max="3" width="11.33203125" customWidth="1"/>
    <col min="4" max="4" width="11.33203125" bestFit="1" customWidth="1"/>
    <col min="5" max="5" width="11.33203125" customWidth="1"/>
    <col min="6" max="12" width="11.6640625" customWidth="1"/>
    <col min="13" max="13" width="11.33203125" customWidth="1"/>
    <col min="14" max="22" width="10.6640625" customWidth="1"/>
  </cols>
  <sheetData>
    <row r="1" spans="1:23" ht="13.8" thickBot="1" x14ac:dyDescent="0.3">
      <c r="A1" s="38" t="s">
        <v>90</v>
      </c>
      <c r="B1" s="24" t="s">
        <v>169</v>
      </c>
      <c r="C1" s="114" t="s">
        <v>178</v>
      </c>
      <c r="D1" s="69" t="s">
        <v>170</v>
      </c>
      <c r="E1" s="116">
        <v>46113</v>
      </c>
      <c r="F1" s="99">
        <v>45748</v>
      </c>
      <c r="G1" s="99">
        <v>45383</v>
      </c>
      <c r="H1" s="99">
        <v>45017</v>
      </c>
      <c r="I1" s="99">
        <v>44652</v>
      </c>
      <c r="J1" s="99">
        <v>44287</v>
      </c>
      <c r="K1" s="99">
        <v>43922</v>
      </c>
      <c r="L1" s="99">
        <v>43556</v>
      </c>
      <c r="M1" s="99">
        <v>43191</v>
      </c>
      <c r="N1" s="25">
        <v>42826</v>
      </c>
      <c r="O1" s="25">
        <v>42461</v>
      </c>
      <c r="P1" s="25">
        <v>42095</v>
      </c>
      <c r="Q1" s="25">
        <v>41730</v>
      </c>
      <c r="R1" s="25">
        <v>41365</v>
      </c>
      <c r="S1" s="25">
        <v>41000</v>
      </c>
      <c r="T1" s="25">
        <v>40634</v>
      </c>
      <c r="U1" s="25">
        <v>40269</v>
      </c>
      <c r="V1" s="26">
        <v>39904</v>
      </c>
    </row>
    <row r="2" spans="1:23" x14ac:dyDescent="0.25">
      <c r="A2" s="39" t="s">
        <v>20</v>
      </c>
      <c r="B2" s="44" t="str">
        <f t="shared" ref="B2:B32" si="0">IFERROR(((E2-F2)/F2),"")</f>
        <v/>
      </c>
      <c r="C2" s="107">
        <v>-500</v>
      </c>
      <c r="D2" s="37">
        <v>-500</v>
      </c>
      <c r="E2" s="112">
        <f>Italy!E$2</f>
        <v>0</v>
      </c>
      <c r="F2" s="37">
        <f>Italy!F$2</f>
        <v>0</v>
      </c>
      <c r="G2" s="37">
        <f>Italy!G$2</f>
        <v>0</v>
      </c>
      <c r="H2" s="37">
        <f>Italy!H$2</f>
        <v>0</v>
      </c>
      <c r="I2" s="37">
        <f>Italy!I$2</f>
        <v>0</v>
      </c>
      <c r="J2" s="37">
        <f>Italy!J$2</f>
        <v>0</v>
      </c>
      <c r="K2" s="37">
        <f>Italy!K$2</f>
        <v>0</v>
      </c>
      <c r="L2" s="37">
        <f>Italy!L$2</f>
        <v>0</v>
      </c>
      <c r="M2" s="37">
        <f>Italy!M$2</f>
        <v>0</v>
      </c>
      <c r="N2" s="37">
        <f>Italy!N$2</f>
        <v>0</v>
      </c>
      <c r="O2" s="37">
        <f>Italy!O$2</f>
        <v>0</v>
      </c>
      <c r="P2" s="37">
        <f>Italy!P$2</f>
        <v>0</v>
      </c>
      <c r="Q2" s="37">
        <f>Italy!Q$2</f>
        <v>0</v>
      </c>
      <c r="R2" s="37">
        <f>Italy!R$2</f>
        <v>0</v>
      </c>
      <c r="S2" s="37">
        <f>Italy!S$2</f>
        <v>761.6917738204121</v>
      </c>
      <c r="T2" s="37">
        <f>Italy!T$2</f>
        <v>0</v>
      </c>
      <c r="U2" s="37">
        <f>Italy!U$2</f>
        <v>0</v>
      </c>
      <c r="V2" s="59">
        <f>Italy!V$2</f>
        <v>0</v>
      </c>
      <c r="W2" s="37"/>
    </row>
    <row r="3" spans="1:23" x14ac:dyDescent="0.25">
      <c r="A3" s="39" t="s">
        <v>4</v>
      </c>
      <c r="B3" s="44">
        <f t="shared" si="0"/>
        <v>3.6192882208794135</v>
      </c>
      <c r="C3" s="107">
        <v>-4099.2610618708768</v>
      </c>
      <c r="D3" s="37">
        <v>-1610.7707688999999</v>
      </c>
      <c r="E3" s="112">
        <f>Austria!E$3+Belgium!E$2+Denmark!E$2+France!E$4+Germany!E$2+Switzerland!E$2+Netherlands!E$2+Poland!E$2</f>
        <v>6365.187929839487</v>
      </c>
      <c r="F3" s="37">
        <f>Austria!F$3+Belgium!F$2+Denmark!F$2+France!F$4+Germany!F$2+Switzerland!F$2+Netherlands!F$2+Poland!F$2</f>
        <v>1377.9585999999999</v>
      </c>
      <c r="G3" s="37">
        <f>Austria!G$3+Belgium!G$2+Denmark!G$2+France!G$4+Germany!G$2+Switzerland!G$2+Netherlands!G$2+Poland!G$2</f>
        <v>2600.8568772714302</v>
      </c>
      <c r="H3" s="37">
        <f>Austria!H$3+Belgium!H$2+Denmark!H$2+France!H$4+Germany!H$2+Switzerland!H$2+Netherlands!H$2+Poland!H$2</f>
        <v>4375.1302165265097</v>
      </c>
      <c r="I3" s="37">
        <f>Austria!I$3+Belgium!I$2+Denmark!I$2+France!I$4+Germany!I$2+Switzerland!I$2+Netherlands!I$2+Poland!I$2</f>
        <v>8034.3458326597029</v>
      </c>
      <c r="J3" s="37">
        <f>Austria!J$3+Belgium!J$2+Denmark!J$2+France!J$4+Germany!J$2+Switzerland!J$2+Netherlands!J$2+Poland!J$2</f>
        <v>1477</v>
      </c>
      <c r="K3" s="37">
        <f>Austria!K$3+Belgium!K$2+Denmark!K$2+France!K$4+Germany!K$2+Switzerland!K$2+Netherlands!K$2+Poland!K$2</f>
        <v>1701</v>
      </c>
      <c r="L3" s="37">
        <f>Austria!L$3+Belgium!L$2+Denmark!L$2+France!L$4+Germany!L$2+Switzerland!L$2+Netherlands!L$2+Poland!L$2</f>
        <v>6209</v>
      </c>
      <c r="M3" s="37">
        <f>Austria!M$3+Belgium!M$2+Denmark!M$2+France!M$4+Germany!M$2+Switzerland!M$2+Netherlands!M$2+Poland!M$2</f>
        <v>169</v>
      </c>
      <c r="N3" s="37">
        <f>Austria!N$3+Belgium!N$2+Denmark!N$2+France!N$4+Germany!N$2+Switzerland!N$2+Netherlands!N$2+Poland!N$2</f>
        <v>5188</v>
      </c>
      <c r="O3" s="37">
        <f>Austria!O$3+Belgium!O$2+Denmark!O$2+France!O$4+Germany!O$2+Switzerland!O$2+Netherlands!O$2+Poland!O$2</f>
        <v>4075</v>
      </c>
      <c r="P3" s="37">
        <f>Austria!P$3+Belgium!P$2+Denmark!P$2+France!P$4+Germany!P$2+Switzerland!P$2+Netherlands!P$2+Poland!P$2</f>
        <v>6819</v>
      </c>
      <c r="Q3" s="37">
        <f>Austria!Q$3+Belgium!Q$2+Denmark!Q$2+France!Q$4+Germany!Q$2+Switzerland!Q$2+Netherlands!Q$2+Poland!Q$2</f>
        <v>2055</v>
      </c>
      <c r="R3" s="37">
        <f>Austria!R$3+Belgium!R$2+Denmark!R$2+France!R$4+Germany!R$2+Switzerland!R$2+Netherlands!R$2+Poland!R$2</f>
        <v>19</v>
      </c>
      <c r="S3" s="37">
        <f>Austria!S$3+Belgium!S$2+Denmark!S$2+France!S$4+Germany!S$2+Switzerland!S$2+Netherlands!S$2+Poland!S$2</f>
        <v>2886</v>
      </c>
      <c r="T3" s="37">
        <f>Austria!T$3+Belgium!T$2+Denmark!T$2+France!T$4+Germany!T$2+Switzerland!T$2+Netherlands!T$2+Poland!T$2</f>
        <v>1804</v>
      </c>
      <c r="U3" s="37">
        <f>Austria!U$3+Belgium!U$2+Denmark!U$2+France!U$4+Germany!U$2+Switzerland!U$2+Netherlands!U$2+Poland!U$2</f>
        <v>2619</v>
      </c>
      <c r="V3" s="59">
        <f>Austria!V$3+Belgium!V$2+Denmark!V$2+France!V$4+Germany!V$2+Switzerland!V$2+Netherlands!V$2+Poland!V$2</f>
        <v>7428</v>
      </c>
      <c r="W3" s="3"/>
    </row>
    <row r="4" spans="1:23" x14ac:dyDescent="0.25">
      <c r="A4" s="39" t="s">
        <v>11</v>
      </c>
      <c r="B4" s="44">
        <f t="shared" si="0"/>
        <v>0.2920267670957491</v>
      </c>
      <c r="C4" s="107">
        <v>-22539.0753927685</v>
      </c>
      <c r="D4" s="37">
        <v>-19460.909611553274</v>
      </c>
      <c r="E4" s="112">
        <f>Austria!E$4+France!E$5+Germany!E$3+Italy!E$3+Switzerland!E$3+UK!E$2+'Czech Republic'!E$2</f>
        <v>63952.248586178859</v>
      </c>
      <c r="F4" s="37">
        <f>Austria!F$4+France!F$5+Germany!F$3+Italy!F$3+Switzerland!F$3+UK!F$2+'Czech Republic'!F$2</f>
        <v>49497.618946341463</v>
      </c>
      <c r="G4" s="37">
        <f>Austria!G$4+France!G$5+Germany!G$3+Italy!G$3+Switzerland!G$3+UK!G$2+'Czech Republic'!G$2</f>
        <v>47283.290113821138</v>
      </c>
      <c r="H4" s="37">
        <f>Austria!H$4+France!H$5+Germany!H$3+Italy!H$3+Switzerland!H$3+UK!H$2+'Czech Republic'!H$2</f>
        <v>52739.684666666668</v>
      </c>
      <c r="I4" s="37">
        <f>Austria!I$4+France!I$5+Germany!I$3+Italy!I$3+Switzerland!I$3+UK!I$2+'Czech Republic'!I$2</f>
        <v>68452.808000000005</v>
      </c>
      <c r="J4" s="37">
        <f>Austria!J$4+France!J$5+Germany!J$3+Italy!J$3+Switzerland!J$3+UK!J$2+'Czech Republic'!J$2</f>
        <v>52991.65</v>
      </c>
      <c r="K4" s="37">
        <f>Austria!K$4+France!K$5+Germany!K$3+Italy!K$3+Switzerland!K$3+UK!K$2+'Czech Republic'!K$2</f>
        <v>63241.380000000005</v>
      </c>
      <c r="L4" s="37">
        <f>Austria!L$4+France!L$5+Germany!L$3+Italy!L$3+Switzerland!L$3+UK!L$2+'Czech Republic'!L$2</f>
        <v>83418.58</v>
      </c>
      <c r="M4" s="37">
        <f>Austria!M$4+France!M$5+Germany!M$3+Italy!M$3+Switzerland!M$3+UK!M$2+'Czech Republic'!M$2</f>
        <v>30694</v>
      </c>
      <c r="N4" s="37">
        <f>Austria!N$4+France!N$5+Germany!N$3+Italy!N$3+Switzerland!N$3+UK!N$2+'Czech Republic'!N$2</f>
        <v>58655.119999999995</v>
      </c>
      <c r="O4" s="37">
        <f>Austria!O$4+France!O$5+Germany!O$3+Italy!O$3+Switzerland!O$3+UK!O$2+'Czech Republic'!O$2</f>
        <v>63188.14</v>
      </c>
      <c r="P4" s="37">
        <f>Austria!P$4+France!P$5+Germany!P$3+Italy!P$3+Switzerland!P$3+UK!P$2+'Czech Republic'!P$2</f>
        <v>53841.78</v>
      </c>
      <c r="Q4" s="37">
        <f>Austria!Q$4+France!Q$5+Germany!Q$3+Italy!Q$3+Switzerland!Q$3+UK!Q$2+'Czech Republic'!Q$2</f>
        <v>71638.02</v>
      </c>
      <c r="R4" s="37">
        <f>Austria!R$4+France!R$5+Germany!R$3+Italy!R$3+Switzerland!R$3+UK!R$2+'Czech Republic'!R$2</f>
        <v>38633</v>
      </c>
      <c r="S4" s="37">
        <f>Austria!S$4+France!S$5+Germany!S$3+Italy!S$3+Switzerland!S$3+UK!S$2+'Czech Republic'!S$2</f>
        <v>70758.079968526392</v>
      </c>
      <c r="T4" s="37">
        <f>Austria!T$4+France!T$5+Germany!T$3+Italy!T$3+Switzerland!T$3+UK!T$2+'Czech Republic'!T$2</f>
        <v>59131.915490338557</v>
      </c>
      <c r="U4" s="37">
        <f>Austria!U$4+France!U$5+Germany!U$3+Italy!U$3+Switzerland!U$3+UK!U$2+'Czech Republic'!U$2</f>
        <v>76119.03</v>
      </c>
      <c r="V4" s="59">
        <f>Austria!V$4+France!V$5+Germany!V$3+Italy!V$3+Switzerland!V$3+UK!V$2+'Czech Republic'!V$2</f>
        <v>38049.770000000004</v>
      </c>
    </row>
    <row r="5" spans="1:23" x14ac:dyDescent="0.25">
      <c r="A5" s="39" t="s">
        <v>35</v>
      </c>
      <c r="B5" s="44">
        <f t="shared" si="0"/>
        <v>-0.3047456905724622</v>
      </c>
      <c r="C5" s="107">
        <v>-963</v>
      </c>
      <c r="D5" s="37">
        <v>-500</v>
      </c>
      <c r="E5" s="112">
        <f>UK!E$3</f>
        <v>3267</v>
      </c>
      <c r="F5" s="37">
        <f>UK!F$3</f>
        <v>4699</v>
      </c>
      <c r="G5" s="37">
        <f>UK!G$3</f>
        <v>1532</v>
      </c>
      <c r="H5" s="37">
        <f>UK!H$3</f>
        <v>5093</v>
      </c>
      <c r="I5" s="37">
        <f>UK!I$3</f>
        <v>1922</v>
      </c>
      <c r="J5" s="37">
        <f>UK!J$3</f>
        <v>4489</v>
      </c>
      <c r="K5" s="37">
        <f>UK!K$3</f>
        <v>2005</v>
      </c>
      <c r="L5" s="37">
        <f>UK!L$3</f>
        <v>19800</v>
      </c>
      <c r="M5" s="37">
        <f>UK!M$3</f>
        <v>18000</v>
      </c>
      <c r="N5" s="37">
        <f>UK!N$3</f>
        <v>19850</v>
      </c>
      <c r="O5" s="37">
        <f>UK!O$3</f>
        <v>16000</v>
      </c>
      <c r="P5" s="37">
        <f>UK!P$3</f>
        <v>29000</v>
      </c>
      <c r="Q5" s="37">
        <f>UK!Q$3</f>
        <v>26000</v>
      </c>
      <c r="R5" s="37">
        <f>UK!R$3</f>
        <v>10000</v>
      </c>
      <c r="S5" s="37">
        <f>UK!S$3</f>
        <v>25000</v>
      </c>
      <c r="T5" s="37">
        <f>UK!T$3</f>
        <v>26000</v>
      </c>
      <c r="U5" s="37">
        <f>UK!U$3</f>
        <v>26000</v>
      </c>
      <c r="V5" s="59">
        <f>UK!V$3</f>
        <v>28000</v>
      </c>
    </row>
    <row r="6" spans="1:23" x14ac:dyDescent="0.25">
      <c r="A6" s="39" t="s">
        <v>28</v>
      </c>
      <c r="B6" s="44">
        <f t="shared" si="0"/>
        <v>-8.4578804347826081E-2</v>
      </c>
      <c r="C6" s="107">
        <v>-1579</v>
      </c>
      <c r="D6" s="37">
        <v>-909</v>
      </c>
      <c r="E6" s="112">
        <f>France!E6+UK!E4</f>
        <v>2695</v>
      </c>
      <c r="F6" s="37">
        <f>France!F6+UK!F4</f>
        <v>2944</v>
      </c>
      <c r="G6" s="37">
        <f>France!G6+UK!G4</f>
        <v>336</v>
      </c>
      <c r="H6" s="37">
        <f>France!H6+UK!H4</f>
        <v>2827</v>
      </c>
      <c r="I6" s="37">
        <f>France!I6+UK!I4</f>
        <v>1070</v>
      </c>
      <c r="J6" s="37">
        <f>France!J6+UK!J4</f>
        <v>2109</v>
      </c>
      <c r="K6" s="37">
        <f>France!K6+UK!K4</f>
        <v>647</v>
      </c>
      <c r="L6" s="37">
        <f>France!L6+UK!L4</f>
        <v>1314</v>
      </c>
      <c r="M6" s="37">
        <f>France!M6+UK!M4</f>
        <v>256</v>
      </c>
      <c r="N6" s="37">
        <f>France!N6+UK!N4</f>
        <v>0</v>
      </c>
      <c r="O6" s="37">
        <f>France!O6+UK!O4</f>
        <v>1100</v>
      </c>
      <c r="P6" s="37">
        <f>France!P6+UK!P4</f>
        <v>300</v>
      </c>
      <c r="Q6" s="37">
        <f>France!Q6+UK!Q4</f>
        <v>300</v>
      </c>
      <c r="R6" s="37">
        <f>France!R6+UK!R4</f>
        <v>0</v>
      </c>
      <c r="S6" s="37">
        <f>France!S6+UK!S4</f>
        <v>851</v>
      </c>
      <c r="T6" s="37">
        <f>France!T6+UK!T4</f>
        <v>880</v>
      </c>
      <c r="U6" s="37">
        <f>France!U6+UK!U4</f>
        <v>1390</v>
      </c>
      <c r="V6" s="59">
        <f>France!V6+UK!V4</f>
        <v>0</v>
      </c>
    </row>
    <row r="7" spans="1:23" x14ac:dyDescent="0.25">
      <c r="A7" s="39" t="s">
        <v>32</v>
      </c>
      <c r="B7" s="44" t="str">
        <f t="shared" si="0"/>
        <v/>
      </c>
      <c r="C7" s="107">
        <v>0</v>
      </c>
      <c r="D7" s="37">
        <v>0</v>
      </c>
      <c r="E7" s="112">
        <f>Poland!E$3</f>
        <v>0</v>
      </c>
      <c r="F7" s="37">
        <f>Poland!F$3</f>
        <v>0</v>
      </c>
      <c r="G7" s="37">
        <f>Poland!G$3</f>
        <v>0</v>
      </c>
      <c r="H7" s="37">
        <f>Poland!H$3</f>
        <v>0</v>
      </c>
      <c r="I7" s="37">
        <f>Poland!I$3</f>
        <v>0</v>
      </c>
      <c r="J7" s="37">
        <f>Poland!J$3</f>
        <v>0</v>
      </c>
      <c r="K7" s="37">
        <f>Poland!K$3</f>
        <v>0</v>
      </c>
      <c r="L7" s="37">
        <f>Poland!L$3</f>
        <v>0</v>
      </c>
      <c r="M7" s="37">
        <f>Poland!M$3</f>
        <v>0</v>
      </c>
      <c r="N7" s="37">
        <f>Poland!N$3</f>
        <v>0</v>
      </c>
      <c r="O7" s="37">
        <f>Poland!O$3</f>
        <v>0</v>
      </c>
      <c r="P7" s="37">
        <f>Poland!P$3</f>
        <v>0</v>
      </c>
      <c r="Q7" s="37">
        <f>Poland!Q$3</f>
        <v>0</v>
      </c>
      <c r="R7" s="37">
        <f>Poland!R$3</f>
        <v>0</v>
      </c>
      <c r="S7" s="37">
        <f>Poland!S$3</f>
        <v>0</v>
      </c>
      <c r="T7" s="37">
        <f>Poland!T$3</f>
        <v>0</v>
      </c>
      <c r="U7" s="37">
        <f>Poland!U$3</f>
        <v>8000</v>
      </c>
      <c r="V7" s="59">
        <f>Poland!V$3</f>
        <v>1000</v>
      </c>
    </row>
    <row r="8" spans="1:23" x14ac:dyDescent="0.25">
      <c r="A8" s="39" t="s">
        <v>5</v>
      </c>
      <c r="B8" s="44" t="str">
        <f t="shared" si="0"/>
        <v/>
      </c>
      <c r="C8" s="107">
        <v>-530</v>
      </c>
      <c r="D8" s="37">
        <v>-163</v>
      </c>
      <c r="E8" s="112">
        <f>Belgium!E$3+Denmark!E$4+Germany!E$4+Switzerland!E$4+UK!E$5</f>
        <v>313</v>
      </c>
      <c r="F8" s="37">
        <f>Belgium!F$3+Denmark!F$4+Germany!F$4+Switzerland!F$4+UK!F$5</f>
        <v>0</v>
      </c>
      <c r="G8" s="37">
        <f>Belgium!G$3+Denmark!G$4+Germany!G$4+Switzerland!G$4+UK!G$5</f>
        <v>0</v>
      </c>
      <c r="H8" s="37">
        <f>Belgium!H$3+Denmark!H$4+Germany!H$4+Switzerland!H$4+UK!H$5</f>
        <v>433</v>
      </c>
      <c r="I8" s="37">
        <f>Belgium!I$3+Denmark!I$4+Germany!I$4+Switzerland!I$4+UK!I$5</f>
        <v>111</v>
      </c>
      <c r="J8" s="37">
        <f>Belgium!J$3+Denmark!J$4+Germany!J$4+Switzerland!J$4+UK!J$5</f>
        <v>92</v>
      </c>
      <c r="K8" s="37">
        <f>Belgium!K$3+Denmark!K$4+Germany!K$4+Switzerland!K$4+UK!K$5</f>
        <v>142</v>
      </c>
      <c r="L8" s="37">
        <f>Belgium!L$3+Denmark!L$4+Germany!L$4+Switzerland!L$4+UK!L$5</f>
        <v>316</v>
      </c>
      <c r="M8" s="37">
        <f>Belgium!M$3+Denmark!M$4+Germany!M$4+Switzerland!M$4+UK!M$5</f>
        <v>53</v>
      </c>
      <c r="N8" s="37">
        <f>Belgium!N$3+Denmark!N$4+Germany!N$4+Switzerland!N$4+UK!N$5</f>
        <v>251</v>
      </c>
      <c r="O8" s="37">
        <f>Belgium!O$3+Denmark!O$4+Germany!O$4+Switzerland!O$4+UK!O$5</f>
        <v>1869</v>
      </c>
      <c r="P8" s="37">
        <f>Belgium!P$3+Denmark!P$4+Germany!P$4+Switzerland!P$4+UK!P$5</f>
        <v>0</v>
      </c>
      <c r="Q8" s="37">
        <f>Belgium!Q$3+Denmark!Q$4+Germany!Q$4+Switzerland!Q$4+UK!Q$5</f>
        <v>1907</v>
      </c>
      <c r="R8" s="37">
        <f>Belgium!R$3+Denmark!R$4+Germany!R$4+Switzerland!R$4+UK!R$5</f>
        <v>105</v>
      </c>
      <c r="S8" s="37">
        <f>Belgium!S$3+Denmark!S$4+Germany!S$4+Switzerland!S$4+UK!S$5</f>
        <v>1417</v>
      </c>
      <c r="T8" s="37">
        <f>Belgium!T$3+Denmark!T$4+Germany!T$4+Switzerland!T$4+UK!T$5</f>
        <v>1040</v>
      </c>
      <c r="U8" s="37">
        <f>Belgium!U$3+Denmark!U$4+Germany!U$4+Switzerland!U$4+UK!U$5</f>
        <v>1202</v>
      </c>
      <c r="V8" s="59">
        <f>Belgium!V$3+Denmark!V$4+Germany!V$4+Switzerland!V$4+UK!V$5</f>
        <v>713</v>
      </c>
    </row>
    <row r="9" spans="1:23" x14ac:dyDescent="0.25">
      <c r="A9" s="39" t="s">
        <v>60</v>
      </c>
      <c r="B9" s="44">
        <f t="shared" si="0"/>
        <v>0.37215131310942118</v>
      </c>
      <c r="C9" s="107">
        <v>-51359.046199999982</v>
      </c>
      <c r="D9" s="37">
        <v>-47884.457836250862</v>
      </c>
      <c r="E9" s="112">
        <f>France!E$8+Italy!E$4</f>
        <v>154178.39130000002</v>
      </c>
      <c r="F9" s="37">
        <f>France!F$8+Italy!F$4</f>
        <v>112362.5287</v>
      </c>
      <c r="G9" s="37">
        <f>France!G$8+Italy!G$4</f>
        <v>105384.92600000001</v>
      </c>
      <c r="H9" s="37">
        <f>France!H$8+Italy!H$4</f>
        <v>93363.097000000009</v>
      </c>
      <c r="I9" s="37">
        <f>France!I$8+Italy!I$4</f>
        <v>62140.600000000006</v>
      </c>
      <c r="J9" s="37">
        <f>France!J$8+Italy!J$4</f>
        <v>70998.2</v>
      </c>
      <c r="K9" s="37">
        <f>France!K$8+Italy!K$4</f>
        <v>59131.3</v>
      </c>
      <c r="L9" s="37">
        <f>France!L$8+Italy!L$4</f>
        <v>65506.2</v>
      </c>
      <c r="M9" s="37">
        <f>France!M$8+Italy!M$4</f>
        <v>49464</v>
      </c>
      <c r="N9" s="37">
        <f>France!N$8+Italy!N$4</f>
        <v>63674.9</v>
      </c>
      <c r="O9" s="37">
        <f>France!O$8+Italy!O$4</f>
        <v>54257.3</v>
      </c>
      <c r="P9" s="37">
        <f>France!P$8+Italy!P$4</f>
        <v>69418</v>
      </c>
      <c r="Q9" s="37">
        <f>France!Q$8+Italy!Q$4</f>
        <v>43602</v>
      </c>
      <c r="R9" s="37">
        <f>France!R$8+Italy!R$4</f>
        <v>20971</v>
      </c>
      <c r="S9" s="37">
        <f>France!S$8+Italy!S$4</f>
        <v>48092.956609458226</v>
      </c>
      <c r="T9" s="37">
        <f>France!T$8+Italy!T$4</f>
        <v>30705.109201359592</v>
      </c>
      <c r="U9" s="37">
        <f>France!U$8+Italy!U$4</f>
        <v>19641</v>
      </c>
      <c r="V9" s="59">
        <f>France!V$8+Italy!V$4</f>
        <v>0</v>
      </c>
    </row>
    <row r="10" spans="1:23" x14ac:dyDescent="0.25">
      <c r="A10" s="39" t="s">
        <v>2</v>
      </c>
      <c r="B10" s="44">
        <f t="shared" si="0"/>
        <v>0.90714689062499099</v>
      </c>
      <c r="C10" s="107">
        <v>-25522.102862785745</v>
      </c>
      <c r="D10" s="37">
        <v>-22532.871574164259</v>
      </c>
      <c r="E10" s="112">
        <f>Austria!E$5+Belgium!E$4+Denmark!E$5+France!E$9+Germany!E$5+Italy!E$5+Switzerland!E$5+Netherlands!E$3+Poland!E$4</f>
        <v>73754.407463351701</v>
      </c>
      <c r="F10" s="37">
        <f>Austria!F$5+Belgium!F$4+Denmark!F$5+France!F$9+Germany!F$5+Italy!F$5+Switzerland!F$5+Netherlands!F$3+Poland!F$4</f>
        <v>38672.641224390245</v>
      </c>
      <c r="G10" s="37">
        <f>Austria!G$5+Belgium!G$4+Denmark!G$5+France!G$9+Germany!G$5+Italy!G$5+Switzerland!G$5+Netherlands!G$3+Poland!G$4</f>
        <v>33305.863414634143</v>
      </c>
      <c r="H10" s="37">
        <f>Austria!H$5+Belgium!H$4+Denmark!H$5+France!H$9+Germany!H$5+Italy!H$5+Switzerland!H$5+Netherlands!H$3+Poland!H$4</f>
        <v>64204.945402483449</v>
      </c>
      <c r="I10" s="37">
        <f>Austria!I$5+Belgium!I$4+Denmark!I$5+France!I$9+Germany!I$5+Italy!I$5+Switzerland!I$5+Netherlands!I$3+Poland!I$4</f>
        <v>55549.434532870509</v>
      </c>
      <c r="J10" s="37">
        <f>Austria!J$5+Belgium!J$4+Denmark!J$5+France!J$9+Germany!J$5+Italy!J$5+Switzerland!J$5+Netherlands!J$3+Poland!J$4</f>
        <v>32062.400000000001</v>
      </c>
      <c r="K10" s="37">
        <f>Austria!K$5+Belgium!K$4+Denmark!K$5+France!K$9+Germany!K$5+Italy!K$5+Switzerland!K$5+Netherlands!K$3+Poland!K$4</f>
        <v>53711</v>
      </c>
      <c r="L10" s="37">
        <f>Austria!L$5+Belgium!L$4+Denmark!L$5+France!L$9+Germany!L$5+Italy!L$5+Switzerland!L$5+Netherlands!L$3+Poland!L$4</f>
        <v>39955.4</v>
      </c>
      <c r="M10" s="37">
        <f>Austria!M$5+Belgium!M$4+Denmark!M$5+France!M$9+Germany!M$5+Italy!M$5+Switzerland!M$5+Netherlands!M$3+Poland!M$4</f>
        <v>21870</v>
      </c>
      <c r="N10" s="37">
        <f>Austria!N$5+Belgium!N$4+Denmark!N$5+France!N$9+Germany!N$5+Italy!N$5+Switzerland!N$5+Netherlands!N$3+Poland!N$4</f>
        <v>48073</v>
      </c>
      <c r="O10" s="37">
        <f>Austria!O$5+Belgium!O$4+Denmark!O$5+France!O$9+Germany!O$5+Italy!O$5+Switzerland!O$5+Netherlands!O$3+Poland!O$4</f>
        <v>50732.259999999995</v>
      </c>
      <c r="P10" s="37">
        <f>Austria!P$5+Belgium!P$4+Denmark!P$5+France!P$9+Germany!P$5+Italy!P$5+Switzerland!P$5+Netherlands!P$3+Poland!P$4</f>
        <v>64030.86</v>
      </c>
      <c r="Q10" s="37">
        <f>Austria!Q$5+Belgium!Q$4+Denmark!Q$5+France!Q$9+Germany!Q$5+Italy!Q$5+Switzerland!Q$5+Netherlands!Q$3+Poland!Q$4</f>
        <v>40722.300000000003</v>
      </c>
      <c r="R10" s="37">
        <f>Austria!R$5+Belgium!R$4+Denmark!R$5+France!R$9+Germany!R$5+Italy!R$5+Switzerland!R$5+Netherlands!R$3+Poland!R$4</f>
        <v>32826.639999999999</v>
      </c>
      <c r="S10" s="37">
        <f>Austria!S$5+Belgium!S$4+Denmark!S$5+France!S$9+Germany!S$5+Italy!S$5+Switzerland!S$5+Netherlands!S$3+Poland!S$4</f>
        <v>52175</v>
      </c>
      <c r="T10" s="37">
        <f>Austria!T$5+Belgium!T$4+Denmark!T$5+France!T$9+Germany!T$5+Italy!T$5+Switzerland!T$5+Netherlands!T$3+Poland!T$4</f>
        <v>35404</v>
      </c>
      <c r="U10" s="37">
        <f>Austria!U$5+Belgium!U$4+Denmark!U$5+France!U$9+Germany!U$5+Italy!U$5+Switzerland!U$5+Netherlands!U$3+Poland!U$4</f>
        <v>61846.8</v>
      </c>
      <c r="V10" s="59">
        <f>Austria!V$5+Belgium!V$4+Denmark!V$5+France!V$9+Germany!V$5+Italy!V$5+Switzerland!V$5+Netherlands!V$3+Poland!V$4</f>
        <v>44568</v>
      </c>
    </row>
    <row r="11" spans="1:23" x14ac:dyDescent="0.25">
      <c r="A11" s="39" t="s">
        <v>12</v>
      </c>
      <c r="B11" s="44">
        <f t="shared" si="0"/>
        <v>0.40895663582000985</v>
      </c>
      <c r="C11" s="107">
        <v>-25225.214827913223</v>
      </c>
      <c r="D11" s="37">
        <v>-29804.872971595978</v>
      </c>
      <c r="E11" s="112">
        <f>Austria!E$7+Denmark!E$6+France!E$10+Germany!E$6+Italy!E$6+Spain!E$2</f>
        <v>72438.349179528901</v>
      </c>
      <c r="F11" s="37">
        <f>Austria!F$7+Denmark!F$6+France!F$10+Germany!F$6+Italy!F$6+Spain!F$2</f>
        <v>51412.759866360211</v>
      </c>
      <c r="G11" s="37">
        <f>Austria!G$7+Denmark!G$6+France!G$10+Germany!G$6+Italy!G$6+Spain!G$2</f>
        <v>49068.052906953824</v>
      </c>
      <c r="H11" s="37">
        <f>Austria!H$7+Denmark!H$6+France!H$10+Germany!H$6+Italy!H$6+Spain!H$2</f>
        <v>47891.621743982963</v>
      </c>
      <c r="I11" s="37">
        <f>Austria!I$7+Denmark!I$6+France!I$10+Germany!I$6+Italy!I$6+Spain!I$2</f>
        <v>75522.876259805475</v>
      </c>
      <c r="J11" s="37">
        <f>Austria!J$7+Denmark!J$6+France!J$10+Germany!J$6+Italy!J$6+Spain!J$2</f>
        <v>66008.182044707093</v>
      </c>
      <c r="K11" s="37">
        <f>Austria!K$7+Denmark!K$6+France!K$10+Germany!K$6+Italy!K$6+Spain!K$2</f>
        <v>71462.457039495974</v>
      </c>
      <c r="L11" s="37">
        <f>Austria!L$7+Denmark!L$6+France!L$10+Germany!L$6+Italy!L$6+Spain!L$2</f>
        <v>87706.959999999992</v>
      </c>
      <c r="M11" s="37">
        <f>Austria!M$7+Denmark!M$6+France!M$10+Germany!M$6+Italy!M$6+Spain!M$2</f>
        <v>54843</v>
      </c>
      <c r="N11" s="37">
        <f>Austria!N$7+Denmark!N$6+France!N$10+Germany!N$6+Italy!N$6+Spain!N$2</f>
        <v>63636.366822938995</v>
      </c>
      <c r="O11" s="37">
        <f>Austria!O$7+Denmark!O$6+France!O$10+Germany!O$6+Italy!O$6+Spain!O$2</f>
        <v>84342.725107248087</v>
      </c>
      <c r="P11" s="37">
        <f>Austria!P$7+Denmark!P$6+France!P$10+Germany!P$6+Italy!P$6+Spain!P$2</f>
        <v>67858.72942544207</v>
      </c>
      <c r="Q11" s="37">
        <f>Austria!Q$7+Denmark!Q$6+France!Q$10+Germany!Q$6+Italy!Q$6+Spain!Q$2</f>
        <v>85601.768825431733</v>
      </c>
      <c r="R11" s="37">
        <f>Austria!R$7+Denmark!R$6+France!R$10+Germany!R$6+Italy!R$6+Spain!R$2</f>
        <v>37492.338071602389</v>
      </c>
      <c r="S11" s="37">
        <f>Austria!S$7+Denmark!S$6+France!S$10+Germany!S$6+Italy!S$6+Spain!S$2</f>
        <v>57853.962094113202</v>
      </c>
      <c r="T11" s="37">
        <f>Austria!T$7+Denmark!T$6+France!T$10+Germany!T$6+Italy!T$6+Spain!T$2</f>
        <v>67827.848137446999</v>
      </c>
      <c r="U11" s="37">
        <f>Austria!U$7+Denmark!U$6+France!U$10+Germany!U$6+Italy!U$6+Spain!U$2</f>
        <v>52301.836026374149</v>
      </c>
      <c r="V11" s="59">
        <f>Austria!V$7+Denmark!V$6+France!V$10+Germany!V$6+Italy!V$6+Spain!V$2</f>
        <v>41853.559638945881</v>
      </c>
    </row>
    <row r="12" spans="1:23" x14ac:dyDescent="0.25">
      <c r="A12" s="39" t="s">
        <v>9</v>
      </c>
      <c r="B12" s="44">
        <f t="shared" si="0"/>
        <v>0.627914816708386</v>
      </c>
      <c r="C12" s="107">
        <v>-64331.344029173721</v>
      </c>
      <c r="D12" s="37">
        <v>-68468.541764586815</v>
      </c>
      <c r="E12" s="112">
        <f>Austria!E$8+'Czech Republic'!E$3+Denmark!E$7+France!E$11+Germany!E$7+Italy!E$7+Spain!E$3+Switzerland!E$6+UK!E$6+Poland!E$5</f>
        <v>136646.2851325504</v>
      </c>
      <c r="F12" s="37">
        <f>Austria!F$8+'Czech Republic'!F$3+Denmark!F$7+France!F$11+Germany!F$7+Italy!F$7+Spain!F$3+Switzerland!F$6+UK!F$6+Poland!F$5</f>
        <v>83939.456616560987</v>
      </c>
      <c r="G12" s="37">
        <f>Austria!G$8+'Czech Republic'!G$3+Denmark!G$7+France!G$11+Germany!G$7+Italy!G$7+Spain!G$3+Switzerland!G$6+UK!G$6+Poland!G$5</f>
        <v>113927.30323840142</v>
      </c>
      <c r="H12" s="37">
        <f>Austria!H$8+'Czech Republic'!H$3+Denmark!H$7+France!H$11+Germany!H$7+Italy!H$7+Spain!H$3+Switzerland!H$6+UK!H$6+Poland!H$5</f>
        <v>123425.56057191041</v>
      </c>
      <c r="I12" s="37">
        <f>Austria!I$8+'Czech Republic'!I$3+Denmark!I$7+France!I$11+Germany!I$7+Italy!I$7+Spain!I$3+Switzerland!I$6+UK!I$6+Poland!I$5</f>
        <v>161622.40203872917</v>
      </c>
      <c r="J12" s="37">
        <f>Austria!J$8+'Czech Republic'!J$3+Denmark!J$7+France!J$11+Germany!J$7+Italy!J$7+Spain!J$3+Switzerland!J$6+UK!J$6+Poland!J$5</f>
        <v>120800.33503028125</v>
      </c>
      <c r="K12" s="37">
        <f>Austria!K$8+'Czech Republic'!K$3+Denmark!K$7+France!K$11+Germany!K$7+Italy!K$7+Spain!K$3+Switzerland!K$6+UK!K$6+Poland!K$5</f>
        <v>102043.1771706047</v>
      </c>
      <c r="L12" s="37">
        <f>Austria!L$8+'Czech Republic'!L$3+Denmark!L$7+France!L$11+Germany!L$7+Italy!L$7+Spain!L$3+Switzerland!L$6+UK!L$6+Poland!L$5</f>
        <v>114199.9</v>
      </c>
      <c r="M12" s="37">
        <f>Austria!M$8+'Czech Republic'!M$3+Denmark!M$7+France!M$11+Germany!M$7+Italy!M$7+Spain!M$3+Switzerland!M$6+UK!M$6+Poland!M$5</f>
        <v>44758</v>
      </c>
      <c r="N12" s="37">
        <f>Austria!N$8+'Czech Republic'!N$3+Denmark!N$7+France!N$11+Germany!N$7+Italy!N$7+Spain!N$3+Switzerland!N$6+UK!N$6+Poland!N$5</f>
        <v>59010.394336731377</v>
      </c>
      <c r="O12" s="37">
        <f>Austria!O$8+'Czech Republic'!O$3+Denmark!O$7+France!O$11+Germany!O$7+Italy!O$7+Spain!O$3+Switzerland!O$6+UK!O$6+Poland!O$5</f>
        <v>65343.199630908413</v>
      </c>
      <c r="P12" s="37">
        <f>Austria!P$8+'Czech Republic'!P$3+Denmark!P$7+France!P$11+Germany!P$7+Italy!P$7+Spain!P$3+Switzerland!P$6+UK!P$6+Poland!P$5</f>
        <v>60274.50506925326</v>
      </c>
      <c r="Q12" s="37">
        <f>Austria!Q$8+'Czech Republic'!Q$3+Denmark!Q$7+France!Q$11+Germany!Q$7+Italy!Q$7+Spain!Q$3+Switzerland!Q$6+UK!Q$6+Poland!Q$5</f>
        <v>73996.686772737026</v>
      </c>
      <c r="R12" s="37">
        <f>Austria!R$8+'Czech Republic'!R$3+Denmark!R$7+France!R$11+Germany!R$7+Italy!R$7+Spain!R$3+Switzerland!R$6+UK!R$6+Poland!R$5</f>
        <v>30781.66</v>
      </c>
      <c r="S12" s="37">
        <f>Austria!S$8+'Czech Republic'!S$3+Denmark!S$7+France!S$11+Germany!S$7+Italy!S$7+Spain!S$3+Switzerland!S$6+UK!S$6+Poland!S$5</f>
        <v>42293.810728606768</v>
      </c>
      <c r="T12" s="37">
        <f>Austria!T$8+'Czech Republic'!T$3+Denmark!T$7+France!T$11+Germany!T$7+Italy!T$7+Spain!T$3+Switzerland!T$6+UK!T$6+Poland!T$5</f>
        <v>60645.360867274372</v>
      </c>
      <c r="U12" s="37">
        <f>Austria!U$8+'Czech Republic'!U$3+Denmark!U$7+France!U$11+Germany!U$7+Italy!U$7+Spain!U$3+Switzerland!U$6+UK!U$6+Poland!U$5</f>
        <v>67945.954946544312</v>
      </c>
      <c r="V12" s="59">
        <f>Austria!V$8+'Czech Republic'!V$3+Denmark!V$7+France!V$11+Germany!V$7+Italy!V$7+Spain!V$3+Switzerland!V$6+UK!V$6+Poland!V$5</f>
        <v>37450.174335712261</v>
      </c>
    </row>
    <row r="13" spans="1:23" x14ac:dyDescent="0.25">
      <c r="A13" s="39" t="s">
        <v>14</v>
      </c>
      <c r="B13" s="44">
        <f t="shared" si="0"/>
        <v>9.4433951783135205E-3</v>
      </c>
      <c r="C13" s="107">
        <v>-3017</v>
      </c>
      <c r="D13" s="37">
        <v>-4017</v>
      </c>
      <c r="E13" s="112">
        <f>Austria!E$9+Belgium!E$5+'Czech Republic'!E$4+Denmark!E$8+Germany!E$8+Italy!E$8+Poland!E$6</f>
        <v>9086</v>
      </c>
      <c r="F13" s="37">
        <f>Austria!F$9+Belgium!F$5+'Czech Republic'!F$4+Denmark!F$8+Germany!F$8+Italy!F$8+Poland!F$6</f>
        <v>9001</v>
      </c>
      <c r="G13" s="37">
        <f>Austria!G$9+Belgium!G$5+'Czech Republic'!G$4+Denmark!G$8+Germany!G$8+Italy!G$8+Poland!G$6</f>
        <v>7001</v>
      </c>
      <c r="H13" s="37">
        <f>Austria!H$9+Belgium!H$5+'Czech Republic'!H$4+Denmark!H$8+Germany!H$8+Italy!H$8+Poland!H$6</f>
        <v>10081</v>
      </c>
      <c r="I13" s="37">
        <f>Austria!I$9+Belgium!I$5+'Czech Republic'!I$4+Denmark!I$8+Germany!I$8+Italy!I$8+Poland!I$6</f>
        <v>20094</v>
      </c>
      <c r="J13" s="37">
        <f>Austria!J$9+Belgium!J$5+'Czech Republic'!J$4+Denmark!J$8+Germany!J$8+Italy!J$8+Poland!J$6</f>
        <v>45095</v>
      </c>
      <c r="K13" s="37">
        <f>Austria!K$9+Belgium!K$5+'Czech Republic'!K$4+Denmark!K$8+Germany!K$8+Italy!K$8+Poland!K$6</f>
        <v>40106</v>
      </c>
      <c r="L13" s="37">
        <f>Austria!L$9+Belgium!L$5+'Czech Republic'!L$4+Denmark!L$8+Germany!L$8+Italy!L$8+Poland!L$6</f>
        <v>41037</v>
      </c>
      <c r="M13" s="37">
        <f>Austria!M$9+Belgium!M$5+'Czech Republic'!M$4+Denmark!M$8+Germany!M$8+Italy!M$8+Poland!M$6</f>
        <v>40296</v>
      </c>
      <c r="N13" s="37">
        <f>Austria!N$9+Belgium!N$5+'Czech Republic'!N$4+Denmark!N$8+Germany!N$8+Italy!N$8+Poland!N$6</f>
        <v>50459</v>
      </c>
      <c r="O13" s="37">
        <f>Austria!O$9+Belgium!O$5+'Czech Republic'!O$4+Denmark!O$8+Germany!O$8+Italy!O$8+Poland!O$6</f>
        <v>45989</v>
      </c>
      <c r="P13" s="37">
        <f>Austria!P$9+Belgium!P$5+'Czech Republic'!P$4+Denmark!P$8+Germany!P$8+Italy!P$8+Poland!P$6</f>
        <v>41018</v>
      </c>
      <c r="Q13" s="37">
        <f>Austria!Q$9+Belgium!Q$5+'Czech Republic'!Q$4+Denmark!Q$8+Germany!Q$8+Italy!Q$8+Poland!Q$6</f>
        <v>41043</v>
      </c>
      <c r="R13" s="37">
        <f>Austria!R$9+Belgium!R$5+'Czech Republic'!R$4+Denmark!R$8+Germany!R$8+Italy!R$8+Poland!R$6</f>
        <v>41475</v>
      </c>
      <c r="S13" s="37">
        <f>Austria!S$9+Belgium!S$5+'Czech Republic'!S$4+Denmark!S$8+Germany!S$8+Italy!S$8+Poland!S$6</f>
        <v>41949.075684618285</v>
      </c>
      <c r="T13" s="37">
        <f>Austria!T$9+Belgium!T$5+'Czech Republic'!T$4+Denmark!T$8+Germany!T$8+Italy!T$8+Poland!T$6</f>
        <v>6907</v>
      </c>
      <c r="U13" s="37">
        <f>Austria!U$9+Belgium!U$5+'Czech Republic'!U$4+Denmark!U$8+Germany!U$8+Italy!U$8+Poland!U$6</f>
        <v>12534.970000000001</v>
      </c>
      <c r="V13" s="59">
        <f>Austria!V$9+Belgium!V$5+'Czech Republic'!V$4+Denmark!V$8+Germany!V$8+Italy!V$8+Poland!V$6</f>
        <v>7925.11</v>
      </c>
    </row>
    <row r="14" spans="1:23" x14ac:dyDescent="0.25">
      <c r="A14" s="39" t="s">
        <v>3</v>
      </c>
      <c r="B14" s="44">
        <f t="shared" si="0"/>
        <v>-1.7033064225646585E-2</v>
      </c>
      <c r="C14" s="107">
        <v>-113714.04126918188</v>
      </c>
      <c r="D14" s="37">
        <v>-143223.60314785666</v>
      </c>
      <c r="E14" s="112">
        <f>Austria!E$10+Belgium!E$6+'Czech Republic'!E$5+France!E$12+Germany!E$9+Italy!E$9+Spain!E$4+Switzerland!E$8+Netherlands!E$4+Poland!E$7</f>
        <v>537850.51361506013</v>
      </c>
      <c r="F14" s="37">
        <f>Austria!F$10+Belgium!F$6+'Czech Republic'!F$5+France!F$12+Germany!F$9+Italy!F$9+Spain!F$4+Switzerland!F$8+Netherlands!F$4+Poland!F$7</f>
        <v>547170.50395124103</v>
      </c>
      <c r="G14" s="37">
        <f>Austria!G$10+Belgium!G$6+'Czech Republic'!G$5+France!G$12+Germany!G$9+Italy!G$9+Spain!G$4+Switzerland!G$8+Netherlands!G$4+Poland!G$7</f>
        <v>682578.70145607332</v>
      </c>
      <c r="H14" s="37">
        <f>Austria!H$10+Belgium!H$6+'Czech Republic'!H$5+France!H$12+Germany!H$9+Italy!H$9+Spain!H$4+Switzerland!H$8+Netherlands!H$4+Poland!H$7</f>
        <v>482981.93556630198</v>
      </c>
      <c r="I14" s="37">
        <f>Austria!I$10+Belgium!I$6+'Czech Republic'!I$5+France!I$12+Germany!I$9+Italy!I$9+Spain!I$4+Switzerland!I$8+Netherlands!I$4+Poland!I$7</f>
        <v>647835.78217691265</v>
      </c>
      <c r="J14" s="37">
        <f>Austria!J$10+Belgium!J$6+'Czech Republic'!J$5+France!J$12+Germany!J$9+Italy!J$9+Spain!J$4+Switzerland!J$8+Netherlands!J$4+Poland!J$7</f>
        <v>513961.0256623773</v>
      </c>
      <c r="K14" s="37">
        <f>Austria!K$10+Belgium!K$6+'Czech Republic'!K$5+France!K$12+Germany!K$9+Italy!K$9+Spain!K$4+Switzerland!K$8+Netherlands!K$4+Poland!K$7</f>
        <v>646374.18244311097</v>
      </c>
      <c r="L14" s="37">
        <f>Austria!L$10+Belgium!L$6+'Czech Republic'!L$5+France!L$12+Germany!L$9+Italy!L$9+Spain!L$4+Switzerland!L$8+Netherlands!L$4+Poland!L$7</f>
        <v>669581.6</v>
      </c>
      <c r="M14" s="37">
        <f>Austria!M$10+Belgium!M$6+'Czech Republic'!M$5+France!M$12+Germany!M$9+Italy!M$9+Spain!M$4+Switzerland!M$8+Netherlands!M$4+Poland!M$7</f>
        <v>445055</v>
      </c>
      <c r="N14" s="37">
        <f>Austria!N$10+Belgium!N$6+'Czech Republic'!N$5+France!N$12+Germany!N$9+Italy!N$9+Spain!N$4+Switzerland!N$8+Netherlands!N$4+Poland!N$7</f>
        <v>749980.57311930775</v>
      </c>
      <c r="O14" s="37">
        <f>Austria!O$10+Belgium!O$6+'Czech Republic'!O$5+France!O$12+Germany!O$9+Italy!O$9+Spain!O$4+Switzerland!O$8+Netherlands!O$4+Poland!O$7</f>
        <v>738832.17430465354</v>
      </c>
      <c r="P14" s="37">
        <f>Austria!P$10+Belgium!P$6+'Czech Republic'!P$5+France!P$12+Germany!P$9+Italy!P$9+Spain!P$4+Switzerland!P$8+Netherlands!P$4+Poland!P$7</f>
        <v>763810.45176494878</v>
      </c>
      <c r="Q14" s="37">
        <f>Austria!Q$10+Belgium!Q$6+'Czech Republic'!Q$5+France!Q$12+Germany!Q$9+Italy!Q$9+Spain!Q$4+Switzerland!Q$8+Netherlands!Q$4+Poland!Q$7</f>
        <v>701600.97497093189</v>
      </c>
      <c r="R14" s="37">
        <f>Austria!R$10+Belgium!R$6+'Czech Republic'!R$5+France!R$12+Germany!R$9+Italy!R$9+Spain!R$4+Switzerland!R$8+Netherlands!R$4+Poland!R$7</f>
        <v>557218.77763352951</v>
      </c>
      <c r="S14" s="37">
        <f>Austria!S$10+Belgium!S$6+'Czech Republic'!S$5+France!S$12+Germany!S$9+Italy!S$9+Spain!S$4+Switzerland!S$8+Netherlands!S$4+Poland!S$7</f>
        <v>699267.27345443168</v>
      </c>
      <c r="T14" s="37">
        <f>Austria!T$10+Belgium!T$6+'Czech Republic'!T$5+France!T$12+Germany!T$9+Italy!T$9+Spain!T$4+Switzerland!T$8+Netherlands!T$4+Poland!T$7</f>
        <v>640073.60039808543</v>
      </c>
      <c r="U14" s="37">
        <f>Austria!U$10+Belgium!U$6+'Czech Republic'!U$5+France!U$12+Germany!U$9+Italy!U$9+Spain!U$4+Switzerland!U$8+Netherlands!U$4+Poland!U$7</f>
        <v>683534.10555600189</v>
      </c>
      <c r="V14" s="59">
        <f>Austria!V$10+Belgium!V$6+'Czech Republic'!V$5+France!V$12+Germany!V$9+Italy!V$9+Spain!V$4+Switzerland!V$8+Netherlands!V$4+Poland!V$7</f>
        <v>604548.22990314767</v>
      </c>
    </row>
    <row r="15" spans="1:23" x14ac:dyDescent="0.25">
      <c r="A15" s="39" t="s">
        <v>17</v>
      </c>
      <c r="B15" s="44">
        <f t="shared" si="0"/>
        <v>-6.983661201445017E-2</v>
      </c>
      <c r="C15" s="107">
        <v>-24704.935886449297</v>
      </c>
      <c r="D15" s="37">
        <v>-30559.916007897657</v>
      </c>
      <c r="E15" s="112">
        <f>Austria!E$11+France!E$14+Italy!E$10+Spain!E$5+Switzerland!E$9+Denmark!E$9</f>
        <v>85819.868718441896</v>
      </c>
      <c r="F15" s="37">
        <f>Austria!F$11+France!F$14+Italy!F$10+Spain!F$5+Switzerland!F$9+Denmark!F$9</f>
        <v>92263.219372998065</v>
      </c>
      <c r="G15" s="37">
        <f>Austria!G$11+France!G$14+Italy!G$10+Spain!G$5+Switzerland!G$9+Denmark!G$9</f>
        <v>61689.217860275981</v>
      </c>
      <c r="H15" s="37">
        <f>Austria!H$11+France!H$14+Italy!H$10+Spain!H$5+Switzerland!H$9+Denmark!H$9</f>
        <v>77397.629486532838</v>
      </c>
      <c r="I15" s="37">
        <f>Austria!I$11+France!I$14+Italy!I$10+Spain!I$5+Switzerland!I$9+Denmark!I$9</f>
        <v>75791.139424778405</v>
      </c>
      <c r="J15" s="37">
        <f>Austria!J$11+France!J$14+Italy!J$10+Spain!J$5+Switzerland!J$9+Denmark!J$9</f>
        <v>93651.106314375662</v>
      </c>
      <c r="K15" s="37">
        <f>Austria!K$11+France!K$14+Italy!K$10+Spain!K$5+Switzerland!K$9+Denmark!K$9</f>
        <v>70886.895219718353</v>
      </c>
      <c r="L15" s="37">
        <f>Austria!L$11+France!L$14+Italy!L$10+Spain!L$5+Switzerland!L$9</f>
        <v>84279.94</v>
      </c>
      <c r="M15" s="37">
        <f>Austria!M$11+France!M$14+Italy!M$10+Spain!M$5+Switzerland!M$9</f>
        <v>82648</v>
      </c>
      <c r="N15" s="37">
        <f>Austria!N$11+France!N$14+Italy!N$10+Spain!N$5+Switzerland!N$9</f>
        <v>68011.807822777002</v>
      </c>
      <c r="O15" s="37">
        <f>Austria!O$11+France!O$14+Italy!O$10+Spain!O$5+Switzerland!O$9</f>
        <v>94799.061513953784</v>
      </c>
      <c r="P15" s="37">
        <f>Austria!P$11+France!P$14+Italy!P$10+Spain!P$5+Switzerland!P$9</f>
        <v>78545.596613197602</v>
      </c>
      <c r="Q15" s="37">
        <f>Austria!Q$11+France!Q$14+Italy!Q$10+Spain!Q$5+Switzerland!Q$9</f>
        <v>81197.30932488096</v>
      </c>
      <c r="R15" s="37">
        <f>Austria!R$11+France!R$14+Italy!R$10+Spain!R$5+Switzerland!R$9</f>
        <v>41960.157530405544</v>
      </c>
      <c r="S15" s="37">
        <f>Austria!S$11+France!S$14+Italy!S$10+Spain!S$5+Switzerland!S$9</f>
        <v>57382.78450103019</v>
      </c>
      <c r="T15" s="37">
        <f>Austria!T$11+France!T$14+Italy!T$10+Spain!T$5+Switzerland!T$9</f>
        <v>46064.57019226464</v>
      </c>
      <c r="U15" s="37">
        <f>Austria!U$11+France!U$14+Italy!U$10+Spain!U$5+Switzerland!U$9</f>
        <v>48779.908977841522</v>
      </c>
      <c r="V15" s="59">
        <f>Austria!V$11+France!V$14+Italy!V$10+Spain!V$5+Switzerland!V$9</f>
        <v>26188.702341418088</v>
      </c>
    </row>
    <row r="16" spans="1:23" x14ac:dyDescent="0.25">
      <c r="A16" s="39" t="s">
        <v>15</v>
      </c>
      <c r="B16" s="44" t="str">
        <f t="shared" si="0"/>
        <v/>
      </c>
      <c r="C16" s="107">
        <v>-164</v>
      </c>
      <c r="D16" s="37">
        <v>0</v>
      </c>
      <c r="E16" s="112">
        <f>Denmark!E$10+Germany!E$10</f>
        <v>120</v>
      </c>
      <c r="F16" s="37">
        <f>Denmark!F$10+Germany!F$10</f>
        <v>0</v>
      </c>
      <c r="G16" s="37">
        <f>Denmark!G$10+Germany!G$10</f>
        <v>4</v>
      </c>
      <c r="H16" s="37">
        <f>Denmark!H$10+Germany!H$10</f>
        <v>0</v>
      </c>
      <c r="I16" s="37">
        <f>Denmark!I$10+Germany!I$10</f>
        <v>20</v>
      </c>
      <c r="J16" s="37">
        <f>Denmark!J$10+Germany!J$10</f>
        <v>0</v>
      </c>
      <c r="K16" s="37">
        <f>Denmark!K$10+Germany!K$10</f>
        <v>0</v>
      </c>
      <c r="L16" s="37">
        <f>Denmark!L$10+Germany!L$10</f>
        <v>35</v>
      </c>
      <c r="M16" s="37">
        <f>Denmark!M$10+Germany!M$10</f>
        <v>0</v>
      </c>
      <c r="N16" s="37">
        <f>Denmark!N$10+Germany!N$10</f>
        <v>0</v>
      </c>
      <c r="O16" s="37">
        <f>Denmark!O$10+Germany!O$10</f>
        <v>97</v>
      </c>
      <c r="P16" s="37">
        <f>Denmark!P$10+Germany!P$10</f>
        <v>138</v>
      </c>
      <c r="Q16" s="37">
        <f>Denmark!Q$10+Germany!Q$10</f>
        <v>0</v>
      </c>
      <c r="R16" s="37">
        <f>Denmark!R$10+Germany!R$10</f>
        <v>0</v>
      </c>
      <c r="S16" s="37">
        <f>Denmark!S$10+Germany!S$10</f>
        <v>27</v>
      </c>
      <c r="T16" s="37">
        <f>Denmark!T$10+Germany!T$10</f>
        <v>64</v>
      </c>
      <c r="U16" s="37">
        <f>Denmark!U$10+Germany!U$10</f>
        <v>0</v>
      </c>
      <c r="V16" s="59">
        <f>Denmark!V$10+Germany!V$10</f>
        <v>0</v>
      </c>
    </row>
    <row r="17" spans="1:108" x14ac:dyDescent="0.25">
      <c r="A17" s="39" t="s">
        <v>10</v>
      </c>
      <c r="B17" s="44">
        <f t="shared" si="0"/>
        <v>0.46246493010237988</v>
      </c>
      <c r="C17" s="107">
        <v>-20432.733793324762</v>
      </c>
      <c r="D17" s="37">
        <v>-25372.239730423622</v>
      </c>
      <c r="E17" s="112">
        <f>Austria!E$12+'Czech Republic'!E$6+Denmark!E$11+France!E$16+Germany!E$11+Italy!E$11+Switzerland!E$10+Poland!E$8</f>
        <v>120041.00304878049</v>
      </c>
      <c r="F17" s="37">
        <f>Austria!F$12+'Czech Republic'!F$6+Denmark!F$11+France!F$16+Germany!F$11+Italy!F$11+Switzerland!F$10+Poland!F$8</f>
        <v>82081.286585365859</v>
      </c>
      <c r="G17" s="37">
        <f>Austria!G$12+'Czech Republic'!G$6+Denmark!G$11+France!G$16+Germany!G$11+Italy!G$11+Switzerland!G$10+Poland!G$8</f>
        <v>89067.474593495936</v>
      </c>
      <c r="H17" s="37">
        <f>Austria!H$12+'Czech Republic'!H$6+Denmark!H$11+France!H$16+Germany!H$11+Italy!H$11+Switzerland!H$10+Poland!H$8</f>
        <v>124392.125</v>
      </c>
      <c r="I17" s="37">
        <f>Austria!I$12+'Czech Republic'!I$6+Denmark!I$11+France!I$16+Germany!I$11+Italy!I$11+Switzerland!I$10+Poland!I$8</f>
        <v>153078.16666666666</v>
      </c>
      <c r="J17" s="37">
        <f>Austria!J$12+'Czech Republic'!J$6+Denmark!J$11+France!J$16+Germany!J$11+Italy!J$11+Switzerland!J$10+Poland!J$8</f>
        <v>153487.45000000001</v>
      </c>
      <c r="K17" s="37">
        <f>Austria!K$12+'Czech Republic'!K$6+Denmark!K$11+France!K$16+Germany!K$11+Italy!K$11+Switzerland!K$10+Poland!K$8</f>
        <v>89378</v>
      </c>
      <c r="L17" s="37">
        <f>Austria!L$12+'Czech Republic'!L$6+Denmark!L$11+France!L$16+Germany!L$11+Italy!L$11+Switzerland!L$10+Poland!L$8</f>
        <v>213639.58000000002</v>
      </c>
      <c r="M17" s="37">
        <f>Austria!M$12+'Czech Republic'!M$6+Denmark!M$11+France!M$16+Germany!M$11+Italy!M$11+Switzerland!M$10+Poland!M$8</f>
        <v>82271</v>
      </c>
      <c r="N17" s="37">
        <f>Austria!N$12+'Czech Republic'!N$6+Denmark!N$11+France!N$16+Germany!N$11+Italy!N$11+Switzerland!N$10+Poland!N$8</f>
        <v>182344.66</v>
      </c>
      <c r="O17" s="37">
        <f>Austria!O$12+'Czech Republic'!O$6+Denmark!O$11+France!O$16+Germany!O$11+Italy!O$11+Switzerland!O$10+Poland!O$8</f>
        <v>205361.91999999998</v>
      </c>
      <c r="P17" s="37">
        <f>Austria!P$12+'Czech Republic'!P$6+Denmark!P$11+France!P$16+Germany!P$11+Italy!P$11+Switzerland!P$10+Poland!P$8</f>
        <v>161068.98000000001</v>
      </c>
      <c r="Q17" s="37">
        <f>Austria!Q$12+'Czech Republic'!Q$6+Denmark!Q$11+France!Q$16+Germany!Q$11+Italy!Q$11+Switzerland!Q$10+Poland!Q$8</f>
        <v>192777.8</v>
      </c>
      <c r="R17" s="37">
        <f>Austria!R$12+'Czech Republic'!R$6+Denmark!R$11+France!R$16+Germany!R$11+Italy!R$11+Switzerland!R$10+Poland!R$8</f>
        <v>168189.26</v>
      </c>
      <c r="S17" s="37">
        <f>Austria!S$12+'Czech Republic'!S$6+Denmark!S$11+France!S$16+Germany!S$11+Italy!S$11+Switzerland!S$10+Poland!S$8</f>
        <v>157330.46539247863</v>
      </c>
      <c r="T17" s="37">
        <f>Austria!T$12+'Czech Republic'!T$6+Denmark!T$11+France!T$16+Germany!T$11+Italy!T$11+Switzerland!T$10+Poland!T$8</f>
        <v>77506.941897024954</v>
      </c>
      <c r="U17" s="37">
        <f>Austria!U$12+'Czech Republic'!U$6+Denmark!U$11+France!U$16+Germany!U$11+Italy!U$11+Switzerland!U$10+Poland!U$8</f>
        <v>111380.23999999999</v>
      </c>
      <c r="V17" s="59">
        <f>Austria!V$12+'Czech Republic'!V$6+Denmark!V$11+France!V$16+Germany!V$11+Italy!V$11+Switzerland!V$10+Poland!V$8</f>
        <v>116812.51999999999</v>
      </c>
      <c r="W17" s="1"/>
    </row>
    <row r="18" spans="1:108" x14ac:dyDescent="0.25">
      <c r="A18" s="39" t="s">
        <v>26</v>
      </c>
      <c r="B18" s="44">
        <f t="shared" si="0"/>
        <v>0.41678743571905424</v>
      </c>
      <c r="C18" s="107">
        <v>-17291.582884802265</v>
      </c>
      <c r="D18" s="37">
        <v>-21262.665883591515</v>
      </c>
      <c r="E18" s="112">
        <f>Austria!E$13+Belgium!E$7+'Czech Republic'!E$7+Denmark!E$13+France!E$18+Germany!E$13+Italy!E$12+Switzerland!E$11+Netherlands!E$5+UK!E$7+Poland!E$9</f>
        <v>110713.32855856793</v>
      </c>
      <c r="F18" s="37">
        <f>Austria!F$13+Belgium!F$7+'Czech Republic'!F$7+Denmark!F$13+France!F$18+Germany!F$13+Italy!F$12+Switzerland!F$11+Netherlands!F$5+UK!F$7+Poland!F$9</f>
        <v>78143.923193656927</v>
      </c>
      <c r="G18" s="37">
        <f>Austria!G$13+Belgium!G$7+'Czech Republic'!G$7+Denmark!G$13+France!G$18+Germany!G$13+Italy!G$12+Switzerland!G$11+Netherlands!G$5+UK!G$7+Poland!G$9</f>
        <v>83770.433185248898</v>
      </c>
      <c r="H18" s="37">
        <f>Austria!H$13+Belgium!H$7+'Czech Republic'!H$7+Denmark!H$13+France!H$18+Germany!H$13+Italy!H$12+Switzerland!H$11+Netherlands!H$5+UK!H$7+Poland!H$9</f>
        <v>97434.993350534773</v>
      </c>
      <c r="I18" s="37">
        <f>Austria!I$13+Belgium!I$7+'Czech Republic'!I$7+Denmark!I$13+France!I$18+Germany!I$13+Italy!I$12+Switzerland!I$11+Netherlands!I$5+UK!I$7+Poland!I$9</f>
        <v>153856.70356157731</v>
      </c>
      <c r="J18" s="37">
        <f>Austria!J$13+Belgium!J$7+'Czech Republic'!J$7+Denmark!J$13+France!J$18+Germany!J$13+Italy!J$12+Switzerland!J$11+Netherlands!J$5+UK!J$7+Poland!J$9</f>
        <v>111056.65</v>
      </c>
      <c r="K18" s="37">
        <f>Austria!K$13+Belgium!K$7+'Czech Republic'!K$7+Denmark!K$13+France!K$18+Germany!K$13+Italy!K$12+Switzerland!K$11+Netherlands!K$5+UK!K$7+Poland!K$9</f>
        <v>105428.2</v>
      </c>
      <c r="L18" s="37">
        <f>Austria!L$13+Belgium!L$7+'Czech Republic'!L$7+Denmark!L$13+France!L$18+Germany!L$13+Italy!L$12+Switzerland!L$11+Netherlands!L$5+UK!L$7+Poland!L$9</f>
        <v>137900.48000000001</v>
      </c>
      <c r="M18" s="37">
        <f>Austria!M$13+Belgium!M$7+'Czech Republic'!M$7+Denmark!M$13+France!M$18+Germany!M$13+Italy!M$12+Switzerland!M$11+Netherlands!M$5+UK!M$7+Poland!M$9</f>
        <v>54880</v>
      </c>
      <c r="N18" s="37">
        <f>Austria!N$13+Belgium!N$7+'Czech Republic'!N$7+Denmark!N$13+France!N$18+Germany!N$13+Italy!N$12+Switzerland!N$11+Netherlands!N$5+UK!N$7+Poland!N$9</f>
        <v>150137.28</v>
      </c>
      <c r="O18" s="37">
        <f>Austria!O$13+Belgium!O$7+'Czech Republic'!O$7+Denmark!O$13+France!O$18+Germany!O$13+Italy!O$12+Switzerland!O$11+Netherlands!O$5+UK!O$7+Poland!O$9</f>
        <v>181972.13999999998</v>
      </c>
      <c r="P18" s="37">
        <f>Austria!P$13+Belgium!P$7+'Czech Republic'!P$7+Denmark!P$13+France!P$18+Germany!P$13+Italy!P$12+Switzerland!P$11+Netherlands!P$5+UK!P$7+Poland!P$9</f>
        <v>190635.06</v>
      </c>
      <c r="Q18" s="37">
        <f>Austria!Q$13+Belgium!Q$7+'Czech Republic'!Q$7+Denmark!Q$13+France!Q$18+Germany!Q$13+Italy!Q$12+Switzerland!Q$11+Netherlands!Q$5+UK!Q$7+Poland!Q$9</f>
        <v>162567.67999999999</v>
      </c>
      <c r="R18" s="37">
        <f>Austria!R$13+Belgium!R$7+'Czech Republic'!R$7+Denmark!R$13+France!R$18+Germany!R$13+Italy!R$12+Switzerland!R$11+Netherlands!R$5+UK!R$7+Poland!R$9</f>
        <v>144874.23999999999</v>
      </c>
      <c r="S18" s="37">
        <f>Austria!S$13+Belgium!S$7+'Czech Republic'!S$7+Denmark!S$13+France!S$18+Germany!S$13+Italy!S$12+Switzerland!S$11+Netherlands!S$5+UK!S$7+Poland!S$9</f>
        <v>198784.27405579167</v>
      </c>
      <c r="T18" s="37">
        <f>Austria!T$13+Belgium!T$7+'Czech Republic'!T$7+Denmark!T$13+France!T$18+Germany!T$13+Italy!T$12+Switzerland!T$11+Netherlands!T$5+UK!T$7+Poland!T$9</f>
        <v>126814.28251727117</v>
      </c>
      <c r="U18" s="37">
        <f>Austria!U$13+Belgium!U$7+'Czech Republic'!U$7+Denmark!U$13+France!U$18+Germany!U$13+Italy!U$12+Switzerland!U$11+Netherlands!U$5+UK!U$7+Poland!U$9</f>
        <v>216064.47999999998</v>
      </c>
      <c r="V18" s="59">
        <f>Austria!V$13+Belgium!V$7+'Czech Republic'!V$7+Denmark!V$13+France!V$18+Germany!V$13+Italy!V$12+Switzerland!V$11+Netherlands!V$5+UK!V$7+Poland!V$9</f>
        <v>218512.68</v>
      </c>
      <c r="W18" s="1"/>
    </row>
    <row r="19" spans="1:108" x14ac:dyDescent="0.25">
      <c r="A19" s="39" t="s">
        <v>25</v>
      </c>
      <c r="B19" s="44">
        <f t="shared" si="0"/>
        <v>0.28256202472663294</v>
      </c>
      <c r="C19" s="107">
        <v>-4031.462269551841</v>
      </c>
      <c r="D19" s="37">
        <v>-1353.5003192978584</v>
      </c>
      <c r="E19" s="112">
        <f>Austria!E$14+Belgium!E$8+Denmark!E$14+Germany!E$14+UK!E$8</f>
        <v>20859.14585808236</v>
      </c>
      <c r="F19" s="37">
        <f>Austria!F$14+Belgium!F$8+Denmark!F$14+Germany!F$14+UK!F$8</f>
        <v>16263.654666158003</v>
      </c>
      <c r="G19" s="37">
        <f>Austria!G$14+Belgium!G$8+Denmark!G$14+Germany!G$14+UK!G$8</f>
        <v>17132.124577566079</v>
      </c>
      <c r="H19" s="37">
        <f>Austria!H$14+Belgium!H$8+Denmark!H$14+Germany!H$14+UK!H$8</f>
        <v>20399.449625823101</v>
      </c>
      <c r="I19" s="37">
        <f>Austria!I$14+Belgium!I$8+Denmark!I$14+Germany!I$14+UK!I$8</f>
        <v>39095.623634872987</v>
      </c>
      <c r="J19" s="37">
        <f>Austria!J$14+Belgium!J$8+Denmark!J$14+Germany!J$14+UK!J$8</f>
        <v>31068</v>
      </c>
      <c r="K19" s="37">
        <f>Austria!K$14+Belgium!K$8+Denmark!K$14+Germany!K$14+UK!K$8</f>
        <v>42551</v>
      </c>
      <c r="L19" s="37">
        <f>Austria!L$14+Belgium!L$8+Denmark!L$14+Germany!L$14+UK!L$8</f>
        <v>61120</v>
      </c>
      <c r="M19" s="37">
        <f>Austria!M$14+Belgium!M$8+Denmark!M$14+Germany!M$14+UK!M$8</f>
        <v>15147</v>
      </c>
      <c r="N19" s="37">
        <f>Austria!N$14+Belgium!N$8+Denmark!N$14+Germany!N$14+UK!N$8</f>
        <v>57558</v>
      </c>
      <c r="O19" s="37">
        <f>Austria!O$14+Belgium!O$8+Denmark!O$14+Germany!O$14+UK!O$8</f>
        <v>63450.9</v>
      </c>
      <c r="P19" s="37">
        <f>Austria!P$14+Belgium!P$8+Denmark!P$14+Germany!P$14+UK!P$8</f>
        <v>80111.740000000005</v>
      </c>
      <c r="Q19" s="37">
        <f>Austria!Q$14+Belgium!Q$8+Denmark!Q$14+Germany!Q$14+UK!Q$8</f>
        <v>48006.22</v>
      </c>
      <c r="R19" s="37">
        <f>Austria!R$14+Belgium!R$8+Denmark!R$14+Germany!R$14+UK!R$8</f>
        <v>62503.68</v>
      </c>
      <c r="S19" s="37">
        <f>Austria!S$14+Belgium!S$8+Denmark!S$14+Germany!S$14+UK!S$8</f>
        <v>67236</v>
      </c>
      <c r="T19" s="37">
        <f>Austria!T$14+Belgium!T$8+Denmark!T$14+Germany!T$14+UK!T$8</f>
        <v>48694.726031768951</v>
      </c>
      <c r="U19" s="37">
        <f>Austria!U$14+Belgium!U$8+Denmark!U$14+Germany!U$14+UK!U$8</f>
        <v>68587</v>
      </c>
      <c r="V19" s="59">
        <f>Austria!V$14+Belgium!V$8+Denmark!V$14+Germany!V$14+UK!V$8</f>
        <v>64784</v>
      </c>
    </row>
    <row r="20" spans="1:108" x14ac:dyDescent="0.25">
      <c r="A20" s="39" t="s">
        <v>49</v>
      </c>
      <c r="B20" s="119" t="str">
        <f t="shared" si="0"/>
        <v/>
      </c>
      <c r="C20" s="120">
        <v>0</v>
      </c>
      <c r="D20" s="37">
        <v>0</v>
      </c>
      <c r="E20" s="112">
        <f>Italy!E$13</f>
        <v>0</v>
      </c>
      <c r="F20" s="37">
        <f>Italy!F$13</f>
        <v>0</v>
      </c>
      <c r="G20" s="37">
        <f>Italy!G$13</f>
        <v>0</v>
      </c>
      <c r="H20" s="37">
        <f>Italy!H$13</f>
        <v>0</v>
      </c>
      <c r="I20" s="37">
        <f>Italy!I$13</f>
        <v>0</v>
      </c>
      <c r="J20" s="37">
        <f>Italy!J$13</f>
        <v>0</v>
      </c>
      <c r="K20" s="37">
        <f>Italy!K$13</f>
        <v>0</v>
      </c>
      <c r="L20" s="37">
        <f>Italy!L$13</f>
        <v>0</v>
      </c>
      <c r="M20" s="37">
        <f>Italy!M$13</f>
        <v>0</v>
      </c>
      <c r="N20" s="37">
        <f>Italy!N$13</f>
        <v>0</v>
      </c>
      <c r="O20" s="37">
        <f>Italy!O$13</f>
        <v>0</v>
      </c>
      <c r="P20" s="37">
        <f>Italy!P$13</f>
        <v>6</v>
      </c>
      <c r="Q20" s="37">
        <f>Italy!Q$13</f>
        <v>0</v>
      </c>
      <c r="R20" s="37">
        <f>Italy!R$13+Poland!R$10</f>
        <v>60000</v>
      </c>
      <c r="S20" s="37">
        <f>Italy!S$13+Poland!S$10</f>
        <v>60002.004452036366</v>
      </c>
      <c r="T20" s="37">
        <f>Italy!T$13+Poland!T$10</f>
        <v>0</v>
      </c>
      <c r="U20" s="37">
        <f>Italy!U$13+Poland!U$10</f>
        <v>2</v>
      </c>
      <c r="V20" s="59">
        <f>Italy!V$13+Poland!V$10</f>
        <v>1003</v>
      </c>
    </row>
    <row r="21" spans="1:108" x14ac:dyDescent="0.25">
      <c r="A21" s="39" t="s">
        <v>33</v>
      </c>
      <c r="B21" s="44" t="str">
        <f t="shared" si="0"/>
        <v/>
      </c>
      <c r="C21" s="107">
        <v>0</v>
      </c>
      <c r="D21" s="37">
        <v>0</v>
      </c>
      <c r="E21" s="112">
        <f>Poland!E$11</f>
        <v>0</v>
      </c>
      <c r="F21" s="37">
        <f>Poland!F$11</f>
        <v>0</v>
      </c>
      <c r="G21" s="37">
        <f>Poland!G$11</f>
        <v>0</v>
      </c>
      <c r="H21" s="37">
        <f>Poland!H$11</f>
        <v>0</v>
      </c>
      <c r="I21" s="37">
        <f>Poland!I$11</f>
        <v>0</v>
      </c>
      <c r="J21" s="37">
        <f>Poland!J$11</f>
        <v>0</v>
      </c>
      <c r="K21" s="37">
        <f>Poland!K$11</f>
        <v>0</v>
      </c>
      <c r="L21" s="37">
        <f>Poland!L$11</f>
        <v>0</v>
      </c>
      <c r="M21" s="37">
        <f>Poland!M$11</f>
        <v>0</v>
      </c>
      <c r="N21" s="37">
        <f>Poland!N$11</f>
        <v>0</v>
      </c>
      <c r="O21" s="37">
        <f>Poland!O$11</f>
        <v>0</v>
      </c>
      <c r="P21" s="37">
        <f>Poland!P$11</f>
        <v>0</v>
      </c>
      <c r="Q21" s="37">
        <f>Poland!Q$11</f>
        <v>0</v>
      </c>
      <c r="R21" s="37">
        <f>Poland!R$11</f>
        <v>0</v>
      </c>
      <c r="S21" s="37">
        <f>Poland!S$11</f>
        <v>0</v>
      </c>
      <c r="T21" s="37">
        <f>Poland!T$11</f>
        <v>5000</v>
      </c>
      <c r="U21" s="37">
        <f>Poland!U$11</f>
        <v>26000</v>
      </c>
      <c r="V21" s="59">
        <f>Poland!V$11</f>
        <v>10000</v>
      </c>
    </row>
    <row r="22" spans="1:108" x14ac:dyDescent="0.25">
      <c r="A22" s="39" t="s">
        <v>18</v>
      </c>
      <c r="B22" s="44">
        <f t="shared" si="0"/>
        <v>4.2018681952172336E-2</v>
      </c>
      <c r="C22" s="107">
        <v>-2439</v>
      </c>
      <c r="D22" s="37">
        <v>-2188.5762689521234</v>
      </c>
      <c r="E22" s="112">
        <f>Italy!E$14</f>
        <v>4875</v>
      </c>
      <c r="F22" s="37">
        <f>Italy!F$14</f>
        <v>4678.4189999999999</v>
      </c>
      <c r="G22" s="37">
        <f>Italy!G$14</f>
        <v>4722.1350000000002</v>
      </c>
      <c r="H22" s="37">
        <f>Italy!H$14</f>
        <v>5236.9367348205433</v>
      </c>
      <c r="I22" s="37">
        <f>Italy!I$14</f>
        <v>7206.095413071529</v>
      </c>
      <c r="J22" s="37">
        <f>Italy!J$14</f>
        <v>8024.2999999999993</v>
      </c>
      <c r="K22" s="37">
        <f>Italy!K$14</f>
        <v>5192.5960628237863</v>
      </c>
      <c r="L22" s="37">
        <f>Italy!L$14</f>
        <v>7615.2</v>
      </c>
      <c r="M22" s="37">
        <f>Italy!M$14</f>
        <v>2624</v>
      </c>
      <c r="N22" s="37">
        <f>Italy!N$14</f>
        <v>8335.43</v>
      </c>
      <c r="O22" s="37">
        <f>Italy!O$14</f>
        <v>10162.19</v>
      </c>
      <c r="P22" s="37">
        <f>Italy!P$14</f>
        <v>14809</v>
      </c>
      <c r="Q22" s="37">
        <f>Italy!Q$14</f>
        <v>10837</v>
      </c>
      <c r="R22" s="37">
        <f>Italy!R$14</f>
        <v>11344</v>
      </c>
      <c r="S22" s="37">
        <f>Italy!S$14</f>
        <v>6429.2799066551888</v>
      </c>
      <c r="T22" s="37">
        <f>Italy!T$14</f>
        <v>14051.587397247065</v>
      </c>
      <c r="U22" s="37">
        <f>Italy!U$14</f>
        <v>8328.0400000000009</v>
      </c>
      <c r="V22" s="59">
        <f>Italy!V$14</f>
        <v>23702.27</v>
      </c>
    </row>
    <row r="23" spans="1:108" x14ac:dyDescent="0.25">
      <c r="A23" s="39" t="s">
        <v>13</v>
      </c>
      <c r="B23" s="44">
        <f t="shared" si="0"/>
        <v>0.40902822047138215</v>
      </c>
      <c r="C23" s="107">
        <v>-12408.373930252455</v>
      </c>
      <c r="D23" s="37">
        <v>-14597.186906290117</v>
      </c>
      <c r="E23" s="112">
        <f>Austria!E$16+Denmark!E$16+Germany!E$15+Switzerland!E$14+Poland!E$12+Italy!E$15</f>
        <v>51466.889227642278</v>
      </c>
      <c r="F23" s="37">
        <f>Austria!F$16+Denmark!F$16+Germany!F$15+Switzerland!F$14+Poland!F$12+Italy!F$15</f>
        <v>36526.514146341462</v>
      </c>
      <c r="G23" s="37">
        <f>Austria!G$16+Denmark!G$16+Germany!G$15+Switzerland!G$14+Poland!G$12+Italy!G$15</f>
        <v>52861.097357723578</v>
      </c>
      <c r="H23" s="37">
        <f>Austria!H$16+Denmark!H$16+Germany!H$15+Switzerland!H$14+Poland!H$12+Italy!H$15</f>
        <v>54013.733333333337</v>
      </c>
      <c r="I23" s="37">
        <f>Austria!I$16+Denmark!I$16+Germany!I$15+Switzerland!I$14+Poland!I$12+Italy!I$15</f>
        <v>47032.058333333334</v>
      </c>
      <c r="J23" s="37">
        <f>Austria!J$16+Denmark!J$16+Germany!J$15+Switzerland!J$14+Poland!J$12+Italy!J$15</f>
        <v>40789.449999999997</v>
      </c>
      <c r="K23" s="37">
        <f>Austria!K$16+Denmark!K$16+Germany!K$15+Switzerland!K$14+Poland!K$12+Italy!K$15</f>
        <v>27555.4</v>
      </c>
      <c r="L23" s="37">
        <f>Austria!L$16+Denmark!L$16+Germany!L$15+Switzerland!L$14+Poland!L$12+Italy!L$15</f>
        <v>33669.14</v>
      </c>
      <c r="M23" s="37">
        <f>Austria!M$16+Denmark!M$16+Germany!M$15+Switzerland!M$14+Poland!M$12</f>
        <v>2926</v>
      </c>
      <c r="N23" s="37">
        <f>Austria!N$16+Denmark!N$16+Germany!N$15+Switzerland!N$14+Poland!N$12</f>
        <v>7341.18</v>
      </c>
      <c r="O23" s="37">
        <f>Austria!O$16+Denmark!O$16+Germany!O$15+Switzerland!O$14+Poland!O$12</f>
        <v>9958.06</v>
      </c>
      <c r="P23" s="37">
        <f>Austria!P$16+Denmark!P$16+Germany!P$15+Switzerland!P$14+Poland!P$12</f>
        <v>9437.14</v>
      </c>
      <c r="Q23" s="37">
        <f>Austria!Q$16+Denmark!Q$16+Germany!Q$15+Switzerland!Q$14+Poland!Q$12</f>
        <v>7449.0599999999995</v>
      </c>
      <c r="R23" s="37">
        <f>Austria!R$15+Denmark!R$16+Germany!R$15+Switzerland!R$14</f>
        <v>6429</v>
      </c>
      <c r="S23" s="37">
        <f>Austria!S$16+Denmark!S$16+Germany!S$15+Switzerland!S$14</f>
        <v>6342</v>
      </c>
      <c r="T23" s="37">
        <f>Austria!T$16+Denmark!T$16+Germany!T$15+Switzerland!T$14</f>
        <v>5343</v>
      </c>
      <c r="U23" s="37">
        <f>Austria!U$16+Denmark!U$16+Germany!U$15+Switzerland!U$14</f>
        <v>6017</v>
      </c>
      <c r="V23" s="59">
        <f>Austria!V$16+Denmark!V$16+Germany!V$15+Switzerland!V$14</f>
        <v>5457</v>
      </c>
    </row>
    <row r="24" spans="1:108" x14ac:dyDescent="0.25">
      <c r="A24" s="39" t="s">
        <v>19</v>
      </c>
      <c r="B24" s="44">
        <f t="shared" si="0"/>
        <v>-0.38221673652246912</v>
      </c>
      <c r="C24" s="107">
        <v>-22243.817537001873</v>
      </c>
      <c r="D24" s="37">
        <v>-32359.590214157142</v>
      </c>
      <c r="E24" s="112">
        <f>'Czech Republic'!E$8+France!E$19+Italy!E$16+Spain!E$6+Poland!E$13</f>
        <v>33888.514031826489</v>
      </c>
      <c r="F24" s="37">
        <f>'Czech Republic'!F$8+France!F$19+Italy!F$16+Spain!F$6+Poland!F$13</f>
        <v>54855.021227131438</v>
      </c>
      <c r="G24" s="37">
        <f>'Czech Republic'!G$8+France!G$19+Italy!G$16+Spain!G$6+Poland!G$13</f>
        <v>48310.828999999998</v>
      </c>
      <c r="H24" s="37">
        <f>'Czech Republic'!H$8+France!H$19+Italy!H$16+Spain!H$6+Poland!H$13</f>
        <v>79684.635838935326</v>
      </c>
      <c r="I24" s="37">
        <f>'Czech Republic'!I$8+France!I$19+Italy!I$16+Spain!I$6+Poland!I$13</f>
        <v>70006.958100685908</v>
      </c>
      <c r="J24" s="37">
        <f>'Czech Republic'!J$8+France!J$19+Italy!J$16+Spain!J$6+Poland!J$13</f>
        <v>82974.194794517956</v>
      </c>
      <c r="K24" s="37">
        <f>'Czech Republic'!K$8+France!K$19+Italy!K$16+Spain!K$6+Poland!K$13</f>
        <v>62715.890233993821</v>
      </c>
      <c r="L24" s="37">
        <f>'Czech Republic'!L$8+France!L$19+Italy!L$16+Spain!L$6+Poland!L$13</f>
        <v>77766.7</v>
      </c>
      <c r="M24" s="37">
        <f>'Czech Republic'!M$8+France!M$19+Italy!M$16+Spain!M$6+Poland!M$13</f>
        <v>43886</v>
      </c>
      <c r="N24" s="37">
        <f>'Czech Republic'!N$8+France!N$19+Italy!N$16+Spain!N$6+Poland!N$13</f>
        <v>72257.229791352569</v>
      </c>
      <c r="O24" s="37">
        <f>'Czech Republic'!O$8+France!O$19+Italy!O$16+Spain!O$6+Poland!O$13</f>
        <v>71127.630731326324</v>
      </c>
      <c r="P24" s="37">
        <f>'Czech Republic'!P$8+France!P$19+Italy!P$16+Spain!P$6+Poland!P$13</f>
        <v>67172.734009554551</v>
      </c>
      <c r="Q24" s="37">
        <f>'Czech Republic'!Q$8+France!Q$19+Italy!Q$16+Spain!Q$6+Poland!Q$13</f>
        <v>66405.208057615455</v>
      </c>
      <c r="R24" s="37">
        <f>'Czech Republic'!R$8+France!R$19+Italy!R$16+Spain!R$6+Poland!R$12+Poland!R$13</f>
        <v>45509.904835374044</v>
      </c>
      <c r="S24" s="37">
        <f>'Czech Republic'!S$8+France!S$19+Italy!S$16+Spain!S$6+Poland!S$12+Poland!S$13</f>
        <v>53253.975763809452</v>
      </c>
      <c r="T24" s="37">
        <f>'Czech Republic'!T$8+France!T$19+Italy!T$16+Spain!T$6+Poland!T$12+Poland!T$13</f>
        <v>51919.274429112098</v>
      </c>
      <c r="U24" s="37">
        <f>'Czech Republic'!U$8+France!U$19+Italy!U$16+Spain!U$6+Poland!U$12+Poland!U$13</f>
        <v>71733.893772308147</v>
      </c>
      <c r="V24" s="59">
        <f>'Czech Republic'!V$8+France!V$19+Italy!V$16+Spain!V$6+Poland!V$12+Poland!V$13</f>
        <v>66542.926592710137</v>
      </c>
    </row>
    <row r="25" spans="1:108" x14ac:dyDescent="0.25">
      <c r="A25" s="39" t="s">
        <v>132</v>
      </c>
      <c r="B25" s="44">
        <f t="shared" si="0"/>
        <v>0.53429249215558594</v>
      </c>
      <c r="C25" s="107">
        <v>-25056.069426615315</v>
      </c>
      <c r="D25" s="37">
        <v>-23387.994972186556</v>
      </c>
      <c r="E25" s="112">
        <f>Germany!E$16+Austria!E$17+Poland!E$14</f>
        <v>170542.35162601626</v>
      </c>
      <c r="F25" s="37">
        <f>Germany!F$16+Austria!F$17+Poland!F$14</f>
        <v>111153.7418699187</v>
      </c>
      <c r="G25" s="37">
        <f>Germany!G$16+Austria!G$17+Poland!G$14</f>
        <v>130801.37601626015</v>
      </c>
      <c r="H25" s="37">
        <f>Germany!H$16+Austria!H$17+Poland!H$14</f>
        <v>180706.33333333334</v>
      </c>
      <c r="I25" s="37">
        <f>Germany!I$16+Austria!I$17+Poland!I$14</f>
        <v>149010.375</v>
      </c>
      <c r="J25" s="37">
        <f>Germany!J$16+Austria!J$17+Poland!J$14</f>
        <v>101634</v>
      </c>
      <c r="K25" s="37">
        <f>Germany!K$16+Austria!K$17+Poland!K$14</f>
        <v>75646</v>
      </c>
      <c r="L25" s="37">
        <f>Germany!L$16+Austria!L$17+Poland!L$14</f>
        <v>71848.38</v>
      </c>
      <c r="M25" s="37">
        <f>Germany!M$16+Austria!M$17</f>
        <v>28554</v>
      </c>
      <c r="N25" s="37">
        <f>Germany!N$16</f>
        <v>44254</v>
      </c>
      <c r="O25" s="37">
        <f>Germany!O$16</f>
        <v>28200</v>
      </c>
      <c r="P25" s="37">
        <f>Germany!P$16</f>
        <v>24718</v>
      </c>
      <c r="Q25" s="37">
        <f>Germany!Q$16</f>
        <v>12045</v>
      </c>
      <c r="R25" s="37">
        <f>Germany!R$16</f>
        <v>16692</v>
      </c>
      <c r="S25" s="37">
        <f>Germany!S$16</f>
        <v>12671</v>
      </c>
      <c r="T25" s="37">
        <f>Germany!T$16</f>
        <v>7452</v>
      </c>
      <c r="U25" s="37">
        <f>Germany!U$16</f>
        <v>10952</v>
      </c>
      <c r="V25" s="59">
        <f>Germany!V$16</f>
        <v>7842</v>
      </c>
    </row>
    <row r="26" spans="1:108" s="4" customFormat="1" ht="13.8" thickBot="1" x14ac:dyDescent="0.3">
      <c r="A26" s="39" t="s">
        <v>121</v>
      </c>
      <c r="B26" s="44">
        <f t="shared" si="0"/>
        <v>-0.135619707610454</v>
      </c>
      <c r="C26" s="107">
        <v>-7157.4675999999999</v>
      </c>
      <c r="D26" s="37">
        <v>-8798.0341000000008</v>
      </c>
      <c r="E26" s="112">
        <f>France!E$21+France!E$20+Italy!E$17+Switzerland!E$12</f>
        <v>18860.3999</v>
      </c>
      <c r="F26" s="37">
        <f>France!F$21+France!F$20+Italy!F$17+Switzerland!F$12</f>
        <v>21819.562599999997</v>
      </c>
      <c r="G26" s="37">
        <f>France!G$21+France!G$20+Italy!G$17+Switzerland!G$12</f>
        <v>10789</v>
      </c>
      <c r="H26" s="37">
        <f>France!H$21+France!H$20+Italy!H$17+Switzerland!H$12</f>
        <v>18004</v>
      </c>
      <c r="I26" s="37">
        <f>France!I$21+France!I$20+Italy!I$17+Switzerland!I$12</f>
        <v>18244</v>
      </c>
      <c r="J26" s="37">
        <f>France!J$21+France!J$20+Italy!J$17+Switzerland!J$12</f>
        <v>19329</v>
      </c>
      <c r="K26" s="37">
        <f>France!K$21+France!K$20+Italy!K$17+Switzerland!K$12</f>
        <v>20891.2</v>
      </c>
      <c r="L26" s="37">
        <f>France!L$21+France!L$20+Italy!L$17+Switzerland!L$12</f>
        <v>24198</v>
      </c>
      <c r="M26" s="37">
        <f>France!M$21+France!M$20+Italy!M$17+Switzerland!M$12</f>
        <v>8244</v>
      </c>
      <c r="N26" s="37">
        <f>France!N$21+France!N$20+Italy!N$17+Switzerland!N$12</f>
        <v>17131.400000000001</v>
      </c>
      <c r="O26" s="37">
        <f>France!O$21+France!O$20+Italy!O$17+Switzerland!O$12</f>
        <v>17743.5</v>
      </c>
      <c r="P26" s="37">
        <f>France!P$21+France!P$20+Italy!P$17+Switzerland!P$12</f>
        <v>13913</v>
      </c>
      <c r="Q26" s="37">
        <f>France!Q$21+France!Q$20+Italy!Q$17+Switzerland!Q$12</f>
        <v>23558</v>
      </c>
      <c r="R26" s="37">
        <f>France!R$21+France!R$20+Italy!R$17+Switzerland!R$12</f>
        <v>5050</v>
      </c>
      <c r="S26" s="37">
        <f>France!S$21+France!S$20+Italy!S$17+Switzerland!S$12</f>
        <v>13132.886782428579</v>
      </c>
      <c r="T26" s="37">
        <f>France!T$21+France!T$20+Italy!T$17+Switzerland!T$12</f>
        <v>16325.002024925874</v>
      </c>
      <c r="U26" s="37">
        <f>France!U$21+France!U$20+Italy!U$17+Switzerland!U$12</f>
        <v>17421.099999999999</v>
      </c>
      <c r="V26" s="59">
        <f>France!V$21+France!V$20+Italy!V$17+Switzerland!V$12</f>
        <v>1557.9</v>
      </c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</row>
    <row r="27" spans="1:108" x14ac:dyDescent="0.25">
      <c r="A27" s="39" t="s">
        <v>88</v>
      </c>
      <c r="B27" s="44">
        <f t="shared" si="0"/>
        <v>1.2936943111720356E-2</v>
      </c>
      <c r="C27" s="107">
        <v>-15311</v>
      </c>
      <c r="D27" s="37">
        <v>-15018</v>
      </c>
      <c r="E27" s="112">
        <f>'Czech Republic'!E$9+Germany!E$17+Poland!E$15</f>
        <v>35469</v>
      </c>
      <c r="F27" s="37">
        <f>'Czech Republic'!F$9+Germany!F$17+Poland!F$15</f>
        <v>35016</v>
      </c>
      <c r="G27" s="37">
        <f>'Czech Republic'!G$9+Germany!G$17+Poland!G$15</f>
        <v>35123</v>
      </c>
      <c r="H27" s="37">
        <f>'Czech Republic'!H$9+Germany!H$17+Poland!H$15</f>
        <v>40109</v>
      </c>
      <c r="I27" s="37">
        <f>'Czech Republic'!I$9+Germany!I$17+Poland!I$15</f>
        <v>65725</v>
      </c>
      <c r="J27" s="37">
        <f>'Czech Republic'!J$9+Germany!J$17+Poland!J$15</f>
        <v>50758</v>
      </c>
      <c r="K27" s="37">
        <f>'Czech Republic'!K$9+Germany!K$17+Poland!K$15</f>
        <v>40185</v>
      </c>
      <c r="L27" s="37">
        <f>'Czech Republic'!L$9+Germany!L$17+Poland!L$15</f>
        <v>125724</v>
      </c>
      <c r="M27" s="37">
        <f>'Czech Republic'!M$9+Germany!M$17+Poland!M$15</f>
        <v>35134</v>
      </c>
      <c r="N27" s="37">
        <f>'Czech Republic'!N$9+Germany!N$17+Poland!N$15</f>
        <v>70724</v>
      </c>
      <c r="O27" s="37">
        <f>'Czech Republic'!O$9+Germany!O$17+Poland!O$15</f>
        <v>71564</v>
      </c>
      <c r="P27" s="37">
        <f>'Czech Republic'!P$9+Germany!P$17+Poland!P$15</f>
        <v>65837</v>
      </c>
      <c r="Q27" s="37">
        <f>'Czech Republic'!Q$9+Germany!Q$17+Poland!Q$15</f>
        <v>70099</v>
      </c>
      <c r="R27" s="37">
        <f>'Czech Republic'!R$9+Germany!R$17+Poland!R$15</f>
        <v>51088</v>
      </c>
      <c r="S27" s="37">
        <f>'Czech Republic'!S$9+Germany!S$17+Poland!S$15</f>
        <v>51020</v>
      </c>
      <c r="T27" s="37">
        <f>'Czech Republic'!T$9+Germany!T$17+Poland!T$15</f>
        <v>20372</v>
      </c>
      <c r="U27" s="37">
        <f>'Czech Republic'!U$9+Germany!U$17+Poland!U$15</f>
        <v>20115</v>
      </c>
      <c r="V27" s="59">
        <f>'Czech Republic'!V$9+Germany!V$17+Poland!V$15</f>
        <v>20229</v>
      </c>
    </row>
    <row r="28" spans="1:108" x14ac:dyDescent="0.25">
      <c r="A28" s="39" t="s">
        <v>21</v>
      </c>
      <c r="B28" s="44" t="str">
        <f t="shared" si="0"/>
        <v/>
      </c>
      <c r="C28" s="107">
        <v>0</v>
      </c>
      <c r="D28" s="37">
        <v>0</v>
      </c>
      <c r="E28" s="112">
        <f>Italy!E$18</f>
        <v>0</v>
      </c>
      <c r="F28" s="37">
        <f>Italy!F$18</f>
        <v>0</v>
      </c>
      <c r="G28" s="37">
        <f>Italy!G$18</f>
        <v>0</v>
      </c>
      <c r="H28" s="37">
        <f>Italy!H$18</f>
        <v>0</v>
      </c>
      <c r="I28" s="37">
        <f>Italy!I$18</f>
        <v>0</v>
      </c>
      <c r="J28" s="37">
        <f>Italy!J$18</f>
        <v>0</v>
      </c>
      <c r="K28" s="37">
        <f>Italy!K$18</f>
        <v>0</v>
      </c>
      <c r="L28" s="37">
        <f>Italy!L$18</f>
        <v>407</v>
      </c>
      <c r="M28" s="37">
        <f>Italy!M$18</f>
        <v>671</v>
      </c>
      <c r="N28" s="37">
        <f>Italy!N$18</f>
        <v>4410.3999999999996</v>
      </c>
      <c r="O28" s="37">
        <f>Italy!O$18</f>
        <v>5295.5</v>
      </c>
      <c r="P28" s="37">
        <f>Italy!P$18</f>
        <v>5820</v>
      </c>
      <c r="Q28" s="37">
        <f>Italy!Q$18</f>
        <v>3515</v>
      </c>
      <c r="R28" s="37">
        <f>Italy!R$18</f>
        <v>365</v>
      </c>
      <c r="S28" s="37">
        <f>Italy!S$18</f>
        <v>4173.2691397213102</v>
      </c>
      <c r="T28" s="37">
        <f>Italy!T$18</f>
        <v>4684.1970273537181</v>
      </c>
      <c r="U28" s="37">
        <f>Italy!U$18</f>
        <v>2353.65</v>
      </c>
      <c r="V28" s="59">
        <f>Italy!V$18</f>
        <v>3581.78</v>
      </c>
    </row>
    <row r="29" spans="1:108" x14ac:dyDescent="0.25">
      <c r="A29" s="39" t="s">
        <v>34</v>
      </c>
      <c r="B29" s="44" t="str">
        <f t="shared" si="0"/>
        <v/>
      </c>
      <c r="C29" s="107">
        <v>0</v>
      </c>
      <c r="D29" s="37">
        <v>0</v>
      </c>
      <c r="E29" s="112">
        <f>'Czech Republic'!E$10+UK!E$9+Poland!E$16+Denmark!E$17</f>
        <v>0</v>
      </c>
      <c r="F29" s="37">
        <f>'Czech Republic'!F$10+UK!F$9+Poland!F$16+Denmark!F$17</f>
        <v>0</v>
      </c>
      <c r="G29" s="37">
        <f>'Czech Republic'!G$10+UK!G$9+Poland!G$16+Denmark!G$17</f>
        <v>0</v>
      </c>
      <c r="H29" s="37">
        <f>'Czech Republic'!H$10+UK!H$9+Poland!H$16+Denmark!H$17</f>
        <v>0</v>
      </c>
      <c r="I29" s="37">
        <f>'Czech Republic'!I$10+UK!I$9+Poland!I$16+Denmark!I$17</f>
        <v>0</v>
      </c>
      <c r="J29" s="37">
        <f>'Czech Republic'!J$10+UK!J$9+Poland!J$16+Denmark!J$17</f>
        <v>0</v>
      </c>
      <c r="K29" s="37">
        <f>'Czech Republic'!K$10+UK!K$9+Poland!K$16+Denmark!K$17</f>
        <v>0</v>
      </c>
      <c r="L29" s="37">
        <f>'Czech Republic'!L$10+UK!L$9+Poland!L$16+Denmark!L$17</f>
        <v>12</v>
      </c>
      <c r="M29" s="37">
        <f>'Czech Republic'!M$10+UK!M$9+Poland!M$16+Denmark!M$17</f>
        <v>0</v>
      </c>
      <c r="N29" s="37">
        <f>'Czech Republic'!N$10+UK!N$9+Poland!N$16+Denmark!N$17</f>
        <v>0</v>
      </c>
      <c r="O29" s="37">
        <f>'Czech Republic'!O$10+UK!O$9+Poland!O$16+Denmark!O$17</f>
        <v>25</v>
      </c>
      <c r="P29" s="37">
        <f>'Czech Republic'!P$10+UK!P$9+Poland!P$16+Denmark!P$17</f>
        <v>2</v>
      </c>
      <c r="Q29" s="37">
        <f>'Czech Republic'!Q$10+UK!Q$9+Poland!Q$16+Denmark!Q$17</f>
        <v>0</v>
      </c>
      <c r="R29" s="37">
        <f>'Czech Republic'!R$10+UK!R$9+Poland!R$16+Denmark!R$17</f>
        <v>8</v>
      </c>
      <c r="S29" s="37">
        <f>'Czech Republic'!S$10+UK!S$9+Poland!S$16</f>
        <v>0</v>
      </c>
      <c r="T29" s="37">
        <f>'Czech Republic'!T$10+UK!T$9+Poland!T$16</f>
        <v>0</v>
      </c>
      <c r="U29" s="37">
        <f>'Czech Republic'!U$10+UK!U$9+Poland!U$16</f>
        <v>0</v>
      </c>
      <c r="V29" s="59">
        <f>'Czech Republic'!V$10+UK!V$9+Poland!V$16</f>
        <v>1000</v>
      </c>
    </row>
    <row r="30" spans="1:108" x14ac:dyDescent="0.25">
      <c r="A30" s="39" t="s">
        <v>122</v>
      </c>
      <c r="B30" s="44">
        <f t="shared" si="0"/>
        <v>0.72493365736027282</v>
      </c>
      <c r="C30" s="107">
        <v>-26894.380341848504</v>
      </c>
      <c r="D30" s="37">
        <v>-24042.35992105263</v>
      </c>
      <c r="E30" s="112">
        <f>Austria!E$6+Denmark!E$18+France!E$2+France!E$24+France!E$17+France!E$15+France!E$13+Switzerland!E$17+UK!E$10+Germany!E$19+Netherlands!E$6</f>
        <v>106561.80716341463</v>
      </c>
      <c r="F30" s="37">
        <f>Austria!F$6+Denmark!F$18+France!F$2+France!F$24+France!F$17+France!F$15+France!F$13+Switzerland!F$17+UK!F$10+Germany!F$19+Netherlands!F$6</f>
        <v>61777.336599999995</v>
      </c>
      <c r="G30" s="37">
        <f>Austria!G$6+Denmark!G$18+France!G$2+France!G$24+France!G$17+France!G$15+France!G$13+Switzerland!G$17+UK!G$10+Germany!G$19+Netherlands!G$6</f>
        <v>53480.968292682926</v>
      </c>
      <c r="H30" s="37">
        <f>Austria!H$6+Denmark!H$18+France!H$2+France!H$24+France!H$17+France!H$15+France!H$13+Switzerland!H$17+UK!H$10+Germany!H$19+Netherlands!H$6</f>
        <v>84518.5</v>
      </c>
      <c r="I30" s="37">
        <f>Austria!I$6+Denmark!I$18+France!I$2+France!I$24+France!I$17+France!I$15+France!I$13+Switzerland!I$17+UK!I$10+Germany!I$19+Netherlands!I$6</f>
        <v>83393.25</v>
      </c>
      <c r="J30" s="37">
        <f>Austria!J$6+Denmark!J$18+France!J$2+France!J$24+France!J$17+France!J$15+France!J$13+Switzerland!J$17+UK!J$10+Germany!J$19+Netherlands!J$6</f>
        <v>57449.3</v>
      </c>
      <c r="K30" s="37">
        <f>Austria!K$6+Denmark!K$18+France!K$2+France!K$24+France!K$17+France!K$15+France!K$13+Switzerland!K$17+UK!K$10+Germany!K$19+Netherlands!K$6</f>
        <v>60055</v>
      </c>
      <c r="L30" s="37">
        <f>Austria!L$6+Denmark!L$18+France!L$2+France!L$24+France!L$17+France!L$15+France!L$13+Switzerland!L$17+UK!L$10+Germany!L$19+Netherlands!L$6</f>
        <v>72316.86</v>
      </c>
      <c r="M30" s="37">
        <f>Austria!M$6+Denmark!M$18+France!M$2+France!M$24+France!M$17+France!M$15+France!M$13+Switzerland!M$17+UK!M$10+Germany!M$19+Netherlands!M$6</f>
        <v>30787</v>
      </c>
      <c r="N30" s="37">
        <f>Austria!N$6+Denmark!N$18+France!N$2+France!N$24+France!N$17+France!N$15+France!N$13+Switzerland!N$17+UK!N$10+Germany!N$19+Netherlands!N$6</f>
        <v>52207.24</v>
      </c>
      <c r="O30" s="37">
        <f>Austria!O$6+Denmark!O$18+France!O$2+France!O$24+France!O$17+France!O$15+France!O$13+Switzerland!O$17+UK!O$10+Germany!O$19+Netherlands!O$6</f>
        <v>52433.380000000005</v>
      </c>
      <c r="P30" s="37">
        <f>Austria!P$6+Denmark!P$18+France!P$2+France!P$24+France!P$17+France!P$15+France!P$13+Switzerland!P$17+UK!P$10+Germany!P$19+Netherlands!P$6</f>
        <v>55705.599999999999</v>
      </c>
      <c r="Q30" s="37">
        <f>Austria!Q$6+Denmark!Q$18+France!Q$2+France!Q$24+France!Q$17+France!Q$15+France!Q$13+Switzerland!Q$17+UK!Q$10+Germany!Q$19+Netherlands!Q$6</f>
        <v>49079.76</v>
      </c>
      <c r="R30" s="37">
        <f>Austria!R$6+Denmark!R$18+France!R$2+France!R$24+France!R$17+France!R$15+France!R$13+Switzerland!R$17+UK!R$10+Germany!R$19+Netherlands!R$6</f>
        <v>19513.059999999998</v>
      </c>
      <c r="S30" s="37">
        <f>Austria!S$6+Denmark!S$18+France!S$2+France!S$24+France!S$17+France!S$15+France!S$13+Switzerland!S$17+UK!S$10+Germany!S$19+Netherlands!S$6</f>
        <v>23511</v>
      </c>
      <c r="T30" s="37">
        <f>Austria!T$6+Denmark!T$18+France!T$2+France!T$24+France!T$17+France!T$15+France!T$13+Switzerland!T$17+UK!T$10+Germany!T$19+Netherlands!T$6</f>
        <v>15890</v>
      </c>
      <c r="U30" s="37">
        <f>Austria!U$6+Denmark!U$18+France!U$2+France!U$24+France!U$17+France!U$15+France!U$13+Switzerland!U$17+UK!U$10+Germany!U$19+Netherlands!U$6</f>
        <v>20263</v>
      </c>
      <c r="V30" s="59">
        <f>Austria!V$6+Denmark!V$18+France!V$2+France!V$24+France!V$17+France!V$15+France!V$13+Switzerland!V$17+UK!V$10+Germany!V$19+Netherlands!V$6</f>
        <v>1837</v>
      </c>
    </row>
    <row r="31" spans="1:108" ht="13.8" thickBot="1" x14ac:dyDescent="0.3">
      <c r="A31" s="39" t="s">
        <v>6</v>
      </c>
      <c r="B31" s="44">
        <f t="shared" si="0"/>
        <v>0.23349654608075773</v>
      </c>
      <c r="C31" s="107">
        <v>-98325.391599411669</v>
      </c>
      <c r="D31" s="37">
        <v>-91130.14320524066</v>
      </c>
      <c r="E31" s="112">
        <f>Austria!E$2+Austria!E$15+Austria!E$18+Austria!E$19+Austria!E$20+Belgium!E$9+'Czech Republic'!E$11+Denmark!E$3+Denmark!E$15+Denmark!E$12+Denmark!E$19+Germany!E$12+Germany!E$18+Germany!E$20+Italy!E$19+Spain!E$7+Switzerland!E$7+Switzerland!E$13+Switzerland!E$15+Switzerland!E$16+Switzerland!E$18+Netherlands!E$7+UK!E$11+France!E$3+France!E$7+France!E$22+France!E$23+France!E$25+Poland!E$10+Poland!E$17</f>
        <v>333217.97292310657</v>
      </c>
      <c r="F31" s="64">
        <f>Austria!F$2+Austria!F$15+Austria!F$18+Austria!F$19+Austria!F$20+Belgium!F$9+'Czech Republic'!F$11+Denmark!F$3+Denmark!F$15+Denmark!F$12+Denmark!F$19+Germany!F$12+Germany!F$18+Germany!F$20+Italy!F$19+Spain!F$7+Switzerland!F$7+Switzerland!F$13+Switzerland!F$15+Switzerland!F$16+Switzerland!F$18+Netherlands!F$7+UK!F$11+France!F$3+France!F$7+France!F$22+France!F$23+France!F$25+Poland!F$10+Poland!F$17</f>
        <v>270140.98578699271</v>
      </c>
      <c r="G31" s="64">
        <f>Austria!G$2+Austria!G$15+Austria!G$18+Austria!G$19+Austria!G$20+Belgium!G$9+'Czech Republic'!G$11+Denmark!G$3+Denmark!G$15+Denmark!G$12+Denmark!G$19+Germany!G$12+Germany!G$18+Germany!G$20+Italy!G$19+Spain!G$7+Switzerland!G$7+Switzerland!G$13+Switzerland!G$15+Switzerland!G$16+Switzerland!G$18+Netherlands!G$7+UK!G$11+France!G$3+France!G$7+France!G$22+France!G$23+France!G$25+Poland!G$10+Poland!G$17</f>
        <v>265451.6305583801</v>
      </c>
      <c r="H31" s="64">
        <f>Austria!H$2+Austria!H$15+Austria!H$18+Austria!H$19+Austria!H$20+Belgium!H$9+'Czech Republic'!H$11+Denmark!H$3+Denmark!H$15+Denmark!H$12+Denmark!H$19+Germany!H$12+Germany!H$18+Germany!H$20+Italy!H$19+Spain!H$7+Switzerland!H$7+Switzerland!H$13+Switzerland!H$15+Switzerland!H$16+Switzerland!H$18+Netherlands!H$7+UK!H$11+France!H$3+France!H$7+France!H$22+France!H$23+France!H$25+Poland!H$10+Poland!H$17</f>
        <v>220846.74037723328</v>
      </c>
      <c r="I31" s="64">
        <f>Austria!I$2+Austria!I$15+Austria!I$18+Austria!I$19+Austria!I$20+Belgium!I$9+'Czech Republic'!I$11+Denmark!I$3+Denmark!I$15+Denmark!I$12+Denmark!I$19+Germany!I$12+Germany!I$18+Germany!I$20+Italy!I$19+Spain!I$7+Switzerland!I$7+Switzerland!I$13+Switzerland!I$15+Switzerland!I$16+Switzerland!I$18+Netherlands!I$7+UK!I$11+France!I$3+France!I$7+France!I$22+France!I$23+France!I$25+Poland!I$10+Poland!I$17</f>
        <v>207554.17833333334</v>
      </c>
      <c r="J31" s="64">
        <f>Austria!J$2+Austria!J$15+Austria!J$18+Austria!J$19+Austria!J$20+Belgium!J$9+'Czech Republic'!J$11+Denmark!J$3+Denmark!J$15+Denmark!J$12+Denmark!J$19+Germany!J$12+Germany!J$18+Germany!J$20+Italy!J$19+Spain!J$7+Switzerland!J$7+Switzerland!J$13+Switzerland!J$15+Switzerland!J$16+Switzerland!J$18+Netherlands!J$7+UK!J$11+France!J$3+France!J$7+France!J$22+France!J$23+France!J$25+Poland!J$10+Poland!J$17</f>
        <v>254325.1</v>
      </c>
      <c r="K31" s="64">
        <f>Austria!K$2+Austria!K$15+Austria!K$18+Austria!K$19+Austria!K$20+Belgium!K$9+'Czech Republic'!K$11+Denmark!K$3+Denmark!K$15+Denmark!K$12+Denmark!K$19+Germany!K$12+Germany!K$18+Germany!K$20+Italy!K$19+Spain!K$7+Switzerland!K$7+Switzerland!K$13+Switzerland!K$15+Switzerland!K$16+Switzerland!K$18+Netherlands!K$7+UK!K$11+France!K$3+France!K$7+France!K$22+France!K$23+France!K$25+Poland!K$10+Poland!K$17</f>
        <v>122593.39</v>
      </c>
      <c r="L31" s="64">
        <f>Austria!L$2+Austria!L$15+Austria!L$18+Austria!L$19+Austria!L$20+Belgium!L$9+'Czech Republic'!L$11+Denmark!L$3+Denmark!L$15+Denmark!L$12+Denmark!L$19+Germany!L$12+Germany!L$18+Germany!L$20+Italy!L$19+Spain!L$7+Switzerland!L$7+Switzerland!L$13+Switzerland!L$15+Switzerland!L$16+Switzerland!L$18+Netherlands!L$7+UK!L$11+France!L$3+France!L$7+France!L$22+France!L$23+France!L$25+Poland!L$10+Poland!L$17</f>
        <v>258052.52000000002</v>
      </c>
      <c r="M31" s="64">
        <f>Austria!M$2+Austria!M$15+Austria!M$18+Austria!M$19+Austria!M$20+Belgium!M$9+'Czech Republic'!M$11+Denmark!M$3+Denmark!M$15+Denmark!M$12+Denmark!M$19+Germany!M$12+Germany!M$18+Germany!M$20+Italy!M$19+Spain!M$7+Switzerland!M$7+Switzerland!M$13+Switzerland!M$15+Switzerland!M$16+Switzerland!M$18+Netherlands!M$7+UK!M$11+France!M$3+France!M$7+France!M$22+France!M$23+France!M$25+Poland!M$10+Poland!M$17</f>
        <v>80473</v>
      </c>
      <c r="N31" s="64">
        <f>Austria!N$2+Austria!N$15+Austria!N$18+Austria!N$19+Austria!N$20+Belgium!N$9+'Czech Republic'!N$11+Denmark!N$3+Denmark!N$15+Denmark!N$12+Denmark!N$19+Germany!N$12+Germany!N$18+Germany!N$20+Italy!N$19+Spain!N$7+Switzerland!N$7+Switzerland!N$13+Switzerland!N$15+Switzerland!N$16+Switzerland!N$18+Netherlands!N$7+UK!N$11+France!N$3+France!N$7+France!N$22+France!N$23+France!N$25+Poland!N$10+Poland!N$17</f>
        <v>214031.2</v>
      </c>
      <c r="O31" s="64">
        <f>Austria!O$2+Austria!O$15+Austria!O$18+Austria!O$19+Austria!O$20+Belgium!O$9+'Czech Republic'!O$11+Denmark!O$3+Denmark!O$15+Denmark!O$12+Denmark!O$19+Germany!O$12+Germany!O$18+Germany!O$20+Italy!O$19+Spain!O$7+Switzerland!O$7+Switzerland!O$13+Switzerland!O$15+Switzerland!O$16+Switzerland!O$18+Netherlands!O$7+UK!O$11+France!O$3+France!O$7+France!O$22+France!O$23+France!O$25+Poland!O$10+Poland!O$17</f>
        <v>226831.66</v>
      </c>
      <c r="P31" s="64">
        <f>Austria!P$2+Austria!P$15+Austria!P$18+Austria!P$19+Austria!P$20+Belgium!P$9+'Czech Republic'!P$11+Denmark!P$3+Denmark!P$15+Denmark!P$12+Denmark!P$19+Germany!P$12+Germany!P$18+Germany!P$20+Italy!P$19+Spain!P$7+Switzerland!P$7+Switzerland!P$13+Switzerland!P$15+Switzerland!P$16+Switzerland!P$18+Netherlands!P$7+UK!P$11+France!P$3+France!P$7+France!P$22+France!P$23+France!P$25+Poland!P$10+Poland!P$17</f>
        <v>185468.818</v>
      </c>
      <c r="Q31" s="64">
        <f>Austria!Q$2+Austria!Q$15+Austria!Q$18+Austria!Q$19+Austria!Q$20+Belgium!Q$9+'Czech Republic'!Q$11+Denmark!Q$3+Denmark!Q$15+Denmark!Q$12+Denmark!Q$19+Germany!Q$12+Germany!Q$18+Germany!Q$20+Italy!Q$19+Spain!Q$7+Switzerland!Q$7+Switzerland!Q$13+Switzerland!Q$15+Switzerland!Q$16+Switzerland!Q$18+Netherlands!Q$7+UK!Q$11+France!Q$3+France!Q$7+France!Q$22+France!Q$23+France!Q$25+Poland!Q$10+Poland!Q$17</f>
        <v>162912.47399999999</v>
      </c>
      <c r="R31" s="64">
        <f>Austria!R$2+Austria!R$15+Austria!R$18+Austria!R$19+Austria!R$20+Belgium!R$9+'Czech Republic'!R$11+Denmark!R$3+Denmark!R$15+Denmark!R$12+Denmark!R$19+Germany!R$12+Germany!R$18+Germany!R$20+Italy!R$19+Spain!R$7+Switzerland!R$7+Switzerland!R$13+Switzerland!R$15+Switzerland!R$16+Switzerland!R$18+Netherlands!R$7+UK!R$11+France!R$3+France!R$7+France!R$22+France!R$23+France!R$25+Poland!R$10+Poland!R$17</f>
        <v>117752.48</v>
      </c>
      <c r="S31" s="64">
        <f>Austria!S$2+Austria!S$15+Austria!S$18+Austria!S$19+Austria!S$20+Belgium!S$9+'Czech Republic'!S$11+Denmark!S$3+Denmark!S$15+Denmark!S$12+Denmark!S$19+Germany!S$12+Germany!S$18+Germany!S$20+Italy!S$19+Spain!S$7+Switzerland!S$7+Switzerland!S$13+Switzerland!S$15+Switzerland!S$16+Switzerland!S$18+Netherlands!S$7+UK!S$11+France!S$3+France!S$7+France!S$22+France!S$23+France!S$25+Poland!S$10+Poland!S$17</f>
        <v>144728.55821030829</v>
      </c>
      <c r="T31" s="64">
        <f>Austria!T$2+Austria!T$15+Austria!T$18+Austria!T$19+Austria!T$20+Belgium!T$9+'Czech Republic'!T$11+Denmark!T$3+Denmark!T$15+Denmark!T$12+Denmark!T$19+Germany!T$12+Germany!T$18+Germany!T$20+Italy!T$19+Spain!T$7+Switzerland!T$7+Switzerland!T$13+Switzerland!T$15+Switzerland!T$16+Switzerland!T$18+Netherlands!T$7+UK!T$11+France!T$3+France!T$7+France!T$22+France!T$23+France!T$25+Poland!T$10+Poland!T$17</f>
        <v>84146.839533869585</v>
      </c>
      <c r="U31" s="64">
        <f>Austria!U$2+Austria!U$15+Austria!U$18+Austria!U$19+Austria!U$20+Belgium!U$9+'Czech Republic'!U$11+Denmark!U$3+Denmark!U$15+Denmark!U$12+Denmark!U$19+Germany!U$12+Germany!U$18+Germany!U$20+Italy!U$19+Spain!U$7+Switzerland!U$7+Switzerland!U$13+Switzerland!U$15+Switzerland!U$16+Switzerland!U$18+Netherlands!U$7+UK!U$11+France!U$3+France!U$7+France!U$22+France!U$23+France!U$25+Poland!U$10+Poland!U$17</f>
        <v>95057</v>
      </c>
      <c r="V31" s="65">
        <f>Austria!V$2+Austria!V$15+Austria!V$18+Austria!V$19+Austria!V$20+Belgium!V$9+'Czech Republic'!V$11+Denmark!V$3+Denmark!V$15+Denmark!V$12+Denmark!V$19+Germany!V$12+Germany!V$18+Germany!V$20+Italy!V$19+Spain!V$7+Switzerland!V$7+Switzerland!V$13+Switzerland!V$15+Switzerland!V$16+Switzerland!V$18+Netherlands!V$7+UK!V$11+France!V$3+France!V$7+France!V$22+France!V$23+France!V$25+Poland!V$10+Poland!V$17</f>
        <v>58536</v>
      </c>
      <c r="X31" s="3"/>
    </row>
    <row r="32" spans="1:108" ht="13.8" thickBot="1" x14ac:dyDescent="0.3">
      <c r="A32" s="38" t="s">
        <v>91</v>
      </c>
      <c r="B32" s="117">
        <f t="shared" si="0"/>
        <v>0.21926897721332789</v>
      </c>
      <c r="C32" s="109">
        <v>-589839.30091295205</v>
      </c>
      <c r="D32" s="43">
        <v>-629145.2352039977</v>
      </c>
      <c r="E32" s="113">
        <f t="shared" ref="E32" si="1">SUM(E2:E31)</f>
        <v>2152981.6642623884</v>
      </c>
      <c r="F32" s="34">
        <f t="shared" ref="F32:J32" si="2">SUM(F2:F31)</f>
        <v>1765797.1329534571</v>
      </c>
      <c r="G32" s="34">
        <f t="shared" si="2"/>
        <v>1896221.2804487888</v>
      </c>
      <c r="H32" s="34">
        <f t="shared" si="2"/>
        <v>1890160.0522484186</v>
      </c>
      <c r="I32" s="34">
        <f t="shared" si="2"/>
        <v>2172368.7973092971</v>
      </c>
      <c r="J32" s="34">
        <f t="shared" si="2"/>
        <v>1914630.3438462594</v>
      </c>
      <c r="K32" s="34">
        <f t="shared" ref="K32:P32" si="3">SUM(K2:K31)</f>
        <v>1763643.0681697475</v>
      </c>
      <c r="L32" s="34">
        <f t="shared" si="3"/>
        <v>2297629.4400000004</v>
      </c>
      <c r="M32" s="34">
        <f t="shared" si="3"/>
        <v>1173703</v>
      </c>
      <c r="N32" s="43">
        <f t="shared" si="3"/>
        <v>2067522.181893107</v>
      </c>
      <c r="O32" s="43">
        <f t="shared" si="3"/>
        <v>2164750.7412880901</v>
      </c>
      <c r="P32" s="43">
        <f t="shared" si="3"/>
        <v>2109759.9948823964</v>
      </c>
      <c r="Q32" s="43">
        <f t="shared" ref="Q32:V32" si="4">SUM(Q2:Q31)</f>
        <v>1978916.2619515972</v>
      </c>
      <c r="R32" s="43">
        <f t="shared" si="4"/>
        <v>1520801.1980709115</v>
      </c>
      <c r="S32" s="43">
        <f t="shared" si="4"/>
        <v>1899330.3485178344</v>
      </c>
      <c r="T32" s="43">
        <f t="shared" si="4"/>
        <v>1454747.2551453433</v>
      </c>
      <c r="U32" s="43">
        <f t="shared" si="4"/>
        <v>1736189.0092790702</v>
      </c>
      <c r="V32" s="79">
        <f t="shared" si="4"/>
        <v>1439122.6228119342</v>
      </c>
    </row>
    <row r="33" spans="1:22" x14ac:dyDescent="0.25">
      <c r="A33" s="46" t="s">
        <v>147</v>
      </c>
    </row>
    <row r="34" spans="1:22" ht="13.8" thickBot="1" x14ac:dyDescent="0.3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s="46" customFormat="1" ht="13.8" thickBot="1" x14ac:dyDescent="0.3">
      <c r="A35" s="47" t="s">
        <v>90</v>
      </c>
      <c r="B35" s="24" t="s">
        <v>169</v>
      </c>
      <c r="C35" s="114" t="s">
        <v>178</v>
      </c>
      <c r="D35" s="69" t="s">
        <v>170</v>
      </c>
      <c r="E35" s="116">
        <v>46113</v>
      </c>
      <c r="F35" s="99">
        <v>45748</v>
      </c>
      <c r="G35" s="99">
        <v>45383</v>
      </c>
      <c r="H35" s="99">
        <v>45017</v>
      </c>
      <c r="I35" s="99">
        <v>44652</v>
      </c>
      <c r="J35" s="99">
        <v>44287</v>
      </c>
      <c r="K35" s="99">
        <v>43922</v>
      </c>
      <c r="L35" s="99">
        <v>43556</v>
      </c>
      <c r="M35" s="99">
        <v>43191</v>
      </c>
      <c r="N35" s="25">
        <v>42826</v>
      </c>
      <c r="O35" s="25">
        <v>42461</v>
      </c>
      <c r="P35" s="25">
        <v>42095</v>
      </c>
      <c r="Q35" s="25">
        <v>41730</v>
      </c>
      <c r="R35" s="25">
        <v>41365</v>
      </c>
      <c r="S35" s="25">
        <v>41000</v>
      </c>
      <c r="T35" s="25">
        <v>40634</v>
      </c>
      <c r="U35" s="25">
        <v>40269</v>
      </c>
      <c r="V35" s="26">
        <v>39904</v>
      </c>
    </row>
    <row r="36" spans="1:22" s="46" customFormat="1" x14ac:dyDescent="0.25">
      <c r="A36" s="80" t="s">
        <v>102</v>
      </c>
      <c r="B36" s="81">
        <f t="shared" ref="B36:B44" si="5">IFERROR(((E36-F36)/F36),"")</f>
        <v>-0.85175494486818648</v>
      </c>
      <c r="C36" s="129">
        <v>-7391.1573882380108</v>
      </c>
      <c r="D36" s="82">
        <v>-8785.5772914656027</v>
      </c>
      <c r="E36" s="96">
        <f>Italy!E$24</f>
        <v>1200</v>
      </c>
      <c r="F36" s="82">
        <f>Italy!F$24</f>
        <v>8094.7050741962903</v>
      </c>
      <c r="G36" s="82">
        <f>Italy!G$24</f>
        <v>0</v>
      </c>
      <c r="H36" s="82">
        <f>Italy!H$24</f>
        <v>2982.2423111688859</v>
      </c>
      <c r="I36" s="82">
        <f>Italy!I$24</f>
        <v>0</v>
      </c>
      <c r="J36" s="82">
        <f>Italy!J$24</f>
        <v>0</v>
      </c>
      <c r="K36" s="82">
        <f>Italy!K$24</f>
        <v>0</v>
      </c>
      <c r="L36" s="82">
        <f>Italy!L$24</f>
        <v>0</v>
      </c>
      <c r="M36" s="82">
        <f>Italy!M$24</f>
        <v>0</v>
      </c>
      <c r="N36" s="37">
        <f>Italy!N$24</f>
        <v>0</v>
      </c>
      <c r="O36" s="82">
        <f>Italy!O$24</f>
        <v>0</v>
      </c>
      <c r="P36" s="82">
        <f>Italy!P$24</f>
        <v>0</v>
      </c>
      <c r="Q36" s="82">
        <f>Italy!Q$24</f>
        <v>0</v>
      </c>
      <c r="R36" s="82">
        <f>Italy!R$24</f>
        <v>0</v>
      </c>
      <c r="S36" s="82">
        <f>Italy!S$24</f>
        <v>0</v>
      </c>
      <c r="T36" s="82">
        <f>Italy!T$24</f>
        <v>0</v>
      </c>
      <c r="U36" s="82">
        <f>Italy!U$24</f>
        <v>0</v>
      </c>
      <c r="V36" s="83">
        <f>Italy!V$24</f>
        <v>0</v>
      </c>
    </row>
    <row r="37" spans="1:22" s="46" customFormat="1" x14ac:dyDescent="0.25">
      <c r="A37" s="48" t="s">
        <v>37</v>
      </c>
      <c r="B37" s="49">
        <f t="shared" si="5"/>
        <v>4.8368139317178072</v>
      </c>
      <c r="C37" s="130">
        <v>-374.91670125034966</v>
      </c>
      <c r="D37" s="50">
        <v>-157.81025140541738</v>
      </c>
      <c r="E37" s="115">
        <f>Spain!E$12</f>
        <v>660.94849582654047</v>
      </c>
      <c r="F37" s="50">
        <f>Spain!F$12</f>
        <v>113.23789032144454</v>
      </c>
      <c r="G37" s="50">
        <f>Spain!G$12</f>
        <v>213</v>
      </c>
      <c r="H37" s="50">
        <f>Spain!H$12</f>
        <v>490.57112694540825</v>
      </c>
      <c r="I37" s="50">
        <f>Spain!I$12</f>
        <v>292.33733981268983</v>
      </c>
      <c r="J37" s="50">
        <f>Spain!J$12</f>
        <v>838.63686324640423</v>
      </c>
      <c r="K37" s="50">
        <f>Spain!K$12</f>
        <v>864.41877300086946</v>
      </c>
      <c r="L37" s="50">
        <f>Spain!L$12</f>
        <v>612</v>
      </c>
      <c r="M37" s="50">
        <f>Spain!M$12</f>
        <v>916</v>
      </c>
      <c r="N37" s="37">
        <f>Spain!N$12</f>
        <v>985.78212365534273</v>
      </c>
      <c r="O37" s="50">
        <f>Spain!O$12</f>
        <v>372.69344392608912</v>
      </c>
      <c r="P37" s="50">
        <f>Spain!P$12</f>
        <v>585.49610484238758</v>
      </c>
      <c r="Q37" s="50">
        <f>Spain!Q$12</f>
        <v>2521.9151000761449</v>
      </c>
      <c r="R37" s="50">
        <f>Spain!R$12</f>
        <v>62.54136214165181</v>
      </c>
      <c r="S37" s="50">
        <f>Spain!S$12</f>
        <v>3179.9660753527169</v>
      </c>
      <c r="T37" s="50">
        <f>Spain!T$12</f>
        <v>2263</v>
      </c>
      <c r="U37" s="50">
        <f>Spain!U$12</f>
        <v>1451.426480970579</v>
      </c>
      <c r="V37" s="60">
        <f>Spain!V$12</f>
        <v>894.48632173766396</v>
      </c>
    </row>
    <row r="38" spans="1:22" s="46" customFormat="1" x14ac:dyDescent="0.25">
      <c r="A38" s="48" t="s">
        <v>38</v>
      </c>
      <c r="B38" s="49">
        <f t="shared" si="5"/>
        <v>4.2649347111428412E-2</v>
      </c>
      <c r="C38" s="130">
        <v>-859.83097535510012</v>
      </c>
      <c r="D38" s="50">
        <v>-632.06017333888826</v>
      </c>
      <c r="E38" s="115">
        <f>Spain!E$13</f>
        <v>829.15980457033277</v>
      </c>
      <c r="F38" s="50">
        <f>Spain!F$13</f>
        <v>795.24320124253632</v>
      </c>
      <c r="G38" s="50">
        <f>Spain!G$13</f>
        <v>118</v>
      </c>
      <c r="H38" s="50">
        <f>Spain!H$13</f>
        <v>917.3326296624125</v>
      </c>
      <c r="I38" s="50">
        <f>Spain!I$13</f>
        <v>405.93657233578261</v>
      </c>
      <c r="J38" s="50">
        <f>Spain!J$13</f>
        <v>2304.6355471354682</v>
      </c>
      <c r="K38" s="50">
        <f>Spain!K$13</f>
        <v>558.84918783799128</v>
      </c>
      <c r="L38" s="50">
        <f>Spain!L$13</f>
        <v>1653</v>
      </c>
      <c r="M38" s="50">
        <f>Spain!M$13</f>
        <v>3346</v>
      </c>
      <c r="N38" s="37">
        <f>Spain!N$13</f>
        <v>1542.2346504176121</v>
      </c>
      <c r="O38" s="50">
        <f>Spain!O$13</f>
        <v>1859.3620256859326</v>
      </c>
      <c r="P38" s="50">
        <f>Spain!P$13</f>
        <v>4275.0406580721483</v>
      </c>
      <c r="Q38" s="50">
        <f>Spain!Q$13</f>
        <v>3904.7340513738932</v>
      </c>
      <c r="R38" s="50">
        <f>Spain!R$13</f>
        <v>1873.002115138647</v>
      </c>
      <c r="S38" s="50">
        <f>Spain!S$13</f>
        <v>4672.4939831291604</v>
      </c>
      <c r="T38" s="50">
        <f>Spain!T$13</f>
        <v>7701</v>
      </c>
      <c r="U38" s="50">
        <f>Spain!U$13</f>
        <v>6311.930972154586</v>
      </c>
      <c r="V38" s="60">
        <f>Spain!V$13</f>
        <v>2045.5221628081351</v>
      </c>
    </row>
    <row r="39" spans="1:22" s="46" customFormat="1" x14ac:dyDescent="0.25">
      <c r="A39" s="48" t="s">
        <v>7</v>
      </c>
      <c r="B39" s="49">
        <f t="shared" si="5"/>
        <v>0.38207754987572656</v>
      </c>
      <c r="C39" s="130">
        <v>-86016.444555234833</v>
      </c>
      <c r="D39" s="50">
        <v>-74258.337955281575</v>
      </c>
      <c r="E39" s="115">
        <f>Belgium!E$15+Denmark!E$24+Italy!E$25+Poland!E$22+Spain!E$14+Switzerland!E$24+Netherlands!E$12+UK!E$16+'Czech Republic'!E$16+France!E$32</f>
        <v>195296.70648428137</v>
      </c>
      <c r="F39" s="50">
        <f>Belgium!F$15+Denmark!F$24+Italy!F$25+Poland!F$22+Spain!F$14+Switzerland!F$24+Netherlands!F$12+UK!F$16+'Czech Republic'!F$16+France!F$32</f>
        <v>141306.61951772679</v>
      </c>
      <c r="G39" s="50">
        <f>Belgium!G$15+Denmark!G$24+Italy!G$25+Poland!G$22+Spain!G$14+Switzerland!G$24+Netherlands!G$12+UK!G$16+'Czech Republic'!G$16+France!G$32</f>
        <v>173676.3806189468</v>
      </c>
      <c r="H39" s="50">
        <f>Belgium!H$15+Denmark!H$24+Italy!H$25+Poland!H$22+Spain!H$14+Switzerland!H$24+Netherlands!H$12+UK!H$16+'Czech Republic'!H$16+France!H$32</f>
        <v>149457.92517545493</v>
      </c>
      <c r="I39" s="50">
        <f>Belgium!I$15+Denmark!I$24+Italy!I$25+Poland!I$22+Spain!I$14+Switzerland!I$24+Netherlands!I$12+UK!I$16+'Czech Republic'!I$16+France!I$32</f>
        <v>196991.65555479575</v>
      </c>
      <c r="J39" s="50">
        <f>Belgium!J$15+Denmark!J$24+Italy!J$25+Poland!J$22+Spain!J$14+Switzerland!J$24+Netherlands!J$12+UK!J$16+'Czech Republic'!J$16+France!J$32</f>
        <v>220371.48773954276</v>
      </c>
      <c r="K39" s="50">
        <f>Belgium!K$15+Denmark!K$24+Italy!K$25+Poland!K$22+Spain!K$14+Switzerland!K$24+Netherlands!K$12+UK!K$16+'Czech Republic'!K$16+France!K$32</f>
        <v>174798.65317242671</v>
      </c>
      <c r="L39" s="50">
        <f>Belgium!L$15+Denmark!L$24+Italy!L$25+Poland!L$22+Spain!L$14+Switzerland!L$24+Netherlands!L$12+UK!L$16+'Czech Republic'!L$16+France!L$32</f>
        <v>200137</v>
      </c>
      <c r="M39" s="50">
        <f>Belgium!M$15+Denmark!M$24+Italy!M$25+Poland!M$22+Spain!M$14+Switzerland!M$24+Netherlands!M$12+UK!M$16+'Czech Republic'!M$16+France!M$32</f>
        <v>162104</v>
      </c>
      <c r="N39" s="37">
        <f>Belgium!N$15+Denmark!N$24+Italy!N$25+Poland!N$22+Spain!N$14+Switzerland!N$24+Netherlands!N$12+UK!N$16+'Czech Republic'!N$16+France!N$32</f>
        <v>178141.04275900481</v>
      </c>
      <c r="O39" s="50">
        <f>Belgium!O$15+Denmark!O$24+Italy!O$25+Poland!O$22+Spain!O$14+Switzerland!O$24+Netherlands!O$12+UK!O$16+'Czech Republic'!O$16+France!O$32</f>
        <v>217491.17402655</v>
      </c>
      <c r="P39" s="50">
        <f>Belgium!P$15+Denmark!P$24+Italy!P$25+Poland!P$22+Spain!P$14+Switzerland!P$24+Netherlands!P$12+UK!P$16+'Czech Republic'!P$16+France!P$32</f>
        <v>188246.28978692641</v>
      </c>
      <c r="Q39" s="50">
        <f>Belgium!Q$15+Denmark!Q$24+Italy!Q$25+Poland!Q$22+Spain!Q$14+Switzerland!Q$24+Netherlands!Q$12+UK!Q$16+'Czech Republic'!Q$16+France!Q$32</f>
        <v>156484.32747931607</v>
      </c>
      <c r="R39" s="50">
        <f>Belgium!R$15+Denmark!R$24+Italy!R$25+Poland!R$22+Spain!R$14+Switzerland!R$24+Netherlands!R$12+UK!R$16+'Czech Republic'!R$16+France!R$32</f>
        <v>86713.502709195294</v>
      </c>
      <c r="S39" s="50">
        <f>Belgium!S$15+Denmark!S$24+Italy!S$25+Poland!S$22+Spain!S$14+Switzerland!S$24+Netherlands!S$12+UK!S$16+'Czech Republic'!S$16+France!S$32</f>
        <v>163091.27879750042</v>
      </c>
      <c r="T39" s="50">
        <f>Belgium!T$15+Denmark!T$24+Italy!T$25+Poland!T$22+Spain!T$14+Switzerland!T$24+Netherlands!T$12+UK!T$16+'Czech Republic'!T$16</f>
        <v>152065</v>
      </c>
      <c r="U39" s="50">
        <f>Belgium!U$15+Denmark!U$24+Italy!U$25+Poland!U$22+Spain!U$14+Switzerland!U$24+Netherlands!U$12+UK!U$16+'Czech Republic'!U$16+France!U$32</f>
        <v>141775.99484409107</v>
      </c>
      <c r="V39" s="60">
        <f>Belgium!V$15+Denmark!V$24+Italy!V$25+Poland!V$22+Spain!V$14+Switzerland!V$24+Netherlands!V$12+UK!V$16+'Czech Republic'!V$16</f>
        <v>64972.782969568871</v>
      </c>
    </row>
    <row r="40" spans="1:22" s="46" customFormat="1" x14ac:dyDescent="0.25">
      <c r="A40" s="48" t="s">
        <v>92</v>
      </c>
      <c r="B40" s="49">
        <f t="shared" si="5"/>
        <v>3.1675716612594815E-2</v>
      </c>
      <c r="C40" s="130">
        <v>-713.590511893501</v>
      </c>
      <c r="D40" s="50">
        <v>-630.44692757328016</v>
      </c>
      <c r="E40" s="115">
        <f>Belgium!E$16+Italy!E$26+Poland!E$23+Netherlands!E$13+UK!E$17+France!E$33+Denmark!E$25</f>
        <v>189.63934748743486</v>
      </c>
      <c r="F40" s="50">
        <f>Belgium!F$16+Italy!F$26+Poland!F$23+Netherlands!F$13+UK!F$17+France!F$33+Denmark!F$25</f>
        <v>183.81681805024635</v>
      </c>
      <c r="G40" s="50">
        <f>Belgium!G$16+Italy!G$26+Poland!G$23+Netherlands!G$13+UK!G$17+France!G$33+Denmark!G$25</f>
        <v>16</v>
      </c>
      <c r="H40" s="50">
        <f>Belgium!H$16+Italy!H$26+Poland!H$23+Netherlands!H$13+UK!H$17+France!H$33+Denmark!H$25</f>
        <v>10</v>
      </c>
      <c r="I40" s="50">
        <f>Belgium!I$16+Italy!I$26+Poland!I$23+Netherlands!I$13+UK!I$17+France!I$33+Denmark!I$25</f>
        <v>1</v>
      </c>
      <c r="J40" s="50">
        <f>Belgium!J$16+Italy!J$26+Poland!J$23+Netherlands!J$13+UK!J$17+France!J$33+Denmark!J$25</f>
        <v>228</v>
      </c>
      <c r="K40" s="50">
        <f>Belgium!K$16+Italy!K$26+Poland!K$23+Netherlands!K$13+UK!K$17+France!K$33+Denmark!K$25</f>
        <v>38</v>
      </c>
      <c r="L40" s="50">
        <f>Belgium!L$16+Italy!L$26+Poland!L$23+Netherlands!L$13+UK!L$17+France!L$33+Denmark!L$25</f>
        <v>477</v>
      </c>
      <c r="M40" s="50">
        <f>Belgium!M$16+Italy!M$26+Poland!M$23+Netherlands!M$13+UK!M$17+France!M$33+Denmark!M$25</f>
        <v>163</v>
      </c>
      <c r="N40" s="37">
        <f>Belgium!N$16+Italy!N$26+Poland!N$23+Netherlands!N$13+UK!N$17+France!N$33+Denmark!N$25</f>
        <v>110</v>
      </c>
      <c r="O40" s="50">
        <f>Belgium!O$16+Italy!O$26+Poland!O$23+Netherlands!O$13+UK!O$17+France!O$33+Denmark!O$25</f>
        <v>404</v>
      </c>
      <c r="P40" s="50">
        <f>Belgium!P$16+Italy!P$26+Poland!P$23+Netherlands!P$13+UK!P$17+France!P$33+Denmark!P$25</f>
        <v>954</v>
      </c>
      <c r="Q40" s="50">
        <f>Belgium!Q$16+Italy!Q$26+Poland!Q$23+Netherlands!Q$13+UK!Q$17+France!Q$33+Denmark!Q$25</f>
        <v>541</v>
      </c>
      <c r="R40" s="50">
        <f>Belgium!R$16+Italy!R$26+Poland!R$23+Netherlands!R$13+UK!R$17+France!R$33</f>
        <v>6</v>
      </c>
      <c r="S40" s="50">
        <f>Belgium!S$16+Italy!S$26+Poland!S$23+Netherlands!S$13+UK!S$17+France!S$33</f>
        <v>249</v>
      </c>
      <c r="T40" s="50">
        <f>Belgium!T$16+Italy!T$26+Poland!T$23+Netherlands!T$13+UK!T$17</f>
        <v>0</v>
      </c>
      <c r="U40" s="50">
        <f>Belgium!U$16+Italy!U$26+Poland!U$23+Netherlands!U$13+UK!U$17+France!U$33</f>
        <v>0</v>
      </c>
      <c r="V40" s="60">
        <f>Belgium!V$16+Italy!V$26+Poland!V$23+Netherlands!V$13+UK!V$17</f>
        <v>0</v>
      </c>
    </row>
    <row r="41" spans="1:22" s="46" customFormat="1" x14ac:dyDescent="0.25">
      <c r="A41" s="48" t="s">
        <v>29</v>
      </c>
      <c r="B41" s="49">
        <f t="shared" si="5"/>
        <v>-0.67133420405856647</v>
      </c>
      <c r="C41" s="130">
        <v>-1839.4386451016362</v>
      </c>
      <c r="D41" s="50">
        <v>-2209.1115587055065</v>
      </c>
      <c r="E41" s="115">
        <f>Italy!E$27</f>
        <v>500</v>
      </c>
      <c r="F41" s="50">
        <f>Italy!F$27</f>
        <v>1521.302204775508</v>
      </c>
      <c r="G41" s="50">
        <f>Italy!G$27</f>
        <v>0</v>
      </c>
      <c r="H41" s="50">
        <f>Italy!H$27</f>
        <v>563.41082558442429</v>
      </c>
      <c r="I41" s="50">
        <f>Italy!I$27</f>
        <v>0</v>
      </c>
      <c r="J41" s="50">
        <f>Italy!J$27</f>
        <v>0</v>
      </c>
      <c r="K41" s="50">
        <f>Italy!K$27</f>
        <v>0</v>
      </c>
      <c r="L41" s="50">
        <f>Italy!L$27</f>
        <v>0</v>
      </c>
      <c r="M41" s="50">
        <f>Italy!M$27</f>
        <v>0</v>
      </c>
      <c r="N41" s="37">
        <f>Italy!N$27</f>
        <v>0</v>
      </c>
      <c r="O41" s="50">
        <f>Italy!O$27</f>
        <v>0</v>
      </c>
      <c r="P41" s="50">
        <f>Italy!P$27</f>
        <v>0</v>
      </c>
      <c r="Q41" s="50">
        <f>Italy!Q$27</f>
        <v>0</v>
      </c>
      <c r="R41" s="50">
        <f>Italy!R$27</f>
        <v>0</v>
      </c>
      <c r="S41" s="50">
        <f>Italy!S$27</f>
        <v>0</v>
      </c>
      <c r="T41" s="50">
        <f>Italy!T$27</f>
        <v>0</v>
      </c>
      <c r="U41" s="50">
        <f>Italy!U$27</f>
        <v>0</v>
      </c>
      <c r="V41" s="60">
        <f>Italy!V$27</f>
        <v>0</v>
      </c>
    </row>
    <row r="42" spans="1:22" s="46" customFormat="1" x14ac:dyDescent="0.25">
      <c r="A42" s="48" t="s">
        <v>146</v>
      </c>
      <c r="B42" s="131" t="str">
        <f t="shared" si="5"/>
        <v/>
      </c>
      <c r="C42" s="132">
        <v>0</v>
      </c>
      <c r="D42" s="133">
        <v>-62063</v>
      </c>
      <c r="E42" s="134">
        <f>Portugal!E$13</f>
        <v>0</v>
      </c>
      <c r="F42" s="50">
        <f>Portugal!F$13</f>
        <v>0</v>
      </c>
      <c r="G42" s="50">
        <f>Portugal!G$13</f>
        <v>0</v>
      </c>
      <c r="H42" s="50">
        <f>Portugal!H$13</f>
        <v>0</v>
      </c>
      <c r="I42" s="50">
        <f>Portugal!I$13</f>
        <v>0</v>
      </c>
      <c r="J42" s="50">
        <f>Portugal!J$13</f>
        <v>0</v>
      </c>
      <c r="K42" s="50">
        <f>Portugal!K$13</f>
        <v>0</v>
      </c>
      <c r="L42" s="50">
        <f>Portugal!L$13</f>
        <v>24870</v>
      </c>
      <c r="M42" s="50">
        <f>Portugal!M$13</f>
        <v>0</v>
      </c>
      <c r="N42" s="37">
        <f>Portugal!N$13</f>
        <v>0</v>
      </c>
      <c r="O42" s="50">
        <f>Portugal!O$13</f>
        <v>0</v>
      </c>
      <c r="P42" s="50">
        <f>Portugal!P$13</f>
        <v>0</v>
      </c>
      <c r="Q42" s="50">
        <f>Portugal!Q$13</f>
        <v>0</v>
      </c>
      <c r="R42" s="50">
        <f>Portugal!R$13</f>
        <v>0</v>
      </c>
      <c r="S42" s="50">
        <f>Portugal!S$13</f>
        <v>0</v>
      </c>
      <c r="T42" s="50">
        <f>Portugal!T$13</f>
        <v>7940</v>
      </c>
      <c r="U42" s="50"/>
      <c r="V42" s="60"/>
    </row>
    <row r="43" spans="1:22" s="46" customFormat="1" ht="13.8" thickBot="1" x14ac:dyDescent="0.3">
      <c r="A43" s="51" t="s">
        <v>6</v>
      </c>
      <c r="B43" s="52">
        <f t="shared" si="5"/>
        <v>0.24007927253863162</v>
      </c>
      <c r="C43" s="135">
        <v>-10536.771402117365</v>
      </c>
      <c r="D43" s="54">
        <v>-13588.42799157397</v>
      </c>
      <c r="E43" s="53">
        <f>Belgium!E$19+Denmark!E$26+Germany!E$25+Italy!E$28+Poland!E$24+Spain!E$15+Spain!E$16+Switzerland!E$23+Switzerland!E$25+Switzerland!E$26+Switzerland!E$27+Netherlands!E$14+UK!E$18+'Czech Republic'!E$17+'Czech Republic'!E$18+'Czech Republic'!E$19+'Czech Republic'!E$20+France!E$31+France!E$35+France!E$36+France!E$37+France!E$30+Belgium!E$18</f>
        <v>13564.309794788353</v>
      </c>
      <c r="F43" s="54">
        <f>Belgium!F$19+Denmark!F$26+Germany!F$25+Italy!F$28+Poland!F$24+Spain!F$15+Spain!F$16+Switzerland!F$23+Switzerland!F$25+Switzerland!F$26+Switzerland!F$27+Netherlands!F$14+UK!F$18+'Czech Republic'!F$17+'Czech Republic'!F$18+'Czech Republic'!F$19+'Czech Republic'!F$20+France!F$31+France!F$35+France!F$36+France!F$37+France!F$30+Belgium!F$18</f>
        <v>10938.260234783329</v>
      </c>
      <c r="G43" s="54">
        <f>Belgium!G$19+Denmark!G$26+Germany!G$25+Italy!G$28+Poland!G$24+Spain!G$15+Spain!G$16+Switzerland!G$23+Switzerland!G$25+Switzerland!G$26+Switzerland!G$27+Netherlands!G$14+UK!G$18+'Czech Republic'!G$17+'Czech Republic'!G$18+'Czech Republic'!G$19+'Czech Republic'!G$20+France!G$31+France!G$35+France!G$36+France!G$37+France!G$30+Belgium!G$18</f>
        <v>6663.3</v>
      </c>
      <c r="H43" s="54">
        <f>Belgium!H$19+Denmark!H$26+Germany!H$25+Italy!H$28+Poland!H$24+Spain!H$15+Spain!H$16+Switzerland!H$23+Switzerland!H$25+Switzerland!H$26+Switzerland!H$27+Netherlands!H$14+UK!H$18+'Czech Republic'!H$17+'Czech Republic'!H$18+'Czech Republic'!H$19+'Czech Republic'!H$20+France!H$31+France!H$35+France!H$36+France!H$37+France!H$30+Belgium!H$18</f>
        <v>6654.4769594929585</v>
      </c>
      <c r="I43" s="54">
        <f>Belgium!I$19+Denmark!I$26+Germany!I$25+Italy!I$28+Poland!I$24+Spain!I$15+Spain!I$16+Switzerland!I$23+Switzerland!I$25+Switzerland!I$26+Switzerland!I$27+Netherlands!I$14+UK!I$18+'Czech Republic'!I$17+'Czech Republic'!I$18+'Czech Republic'!I$19+'Czech Republic'!I$20+France!I$31+France!I$35+France!I$36+France!I$37+France!I$30+Belgium!I$18</f>
        <v>5110.1530951784034</v>
      </c>
      <c r="J43" s="54">
        <f>Belgium!J$19+Denmark!J$26+Germany!J$25+Italy!J$28+Poland!J$24+Spain!J$15+Spain!J$16+Switzerland!J$23+Switzerland!J$25+Switzerland!J$26+Switzerland!J$27+Netherlands!J$14+UK!J$18+'Czech Republic'!J$17+'Czech Republic'!J$18+'Czech Republic'!J$19+'Czech Republic'!J$20+France!J$31+France!J$35+France!J$36+France!J$37+France!J$30</f>
        <v>6687.0473940549509</v>
      </c>
      <c r="K43" s="54">
        <f>Belgium!K$19+Denmark!K$26+Germany!K$25+Italy!K$28+Poland!K$24+Spain!K$15+Spain!K$16+Switzerland!K$23+Switzerland!K$25+Switzerland!K$26+Switzerland!K$27+Netherlands!K$14+UK!K$18+'Czech Republic'!K$17+'Czech Republic'!K$18+'Czech Republic'!K$19+'Czech Republic'!K$20+France!K$31+France!K$35+France!K$36+France!K$37+France!K$30</f>
        <v>6411.9107736268306</v>
      </c>
      <c r="L43" s="54">
        <f>Belgium!L$19+Denmark!L$26+Germany!L$25+Italy!L$28+Poland!L$24+Spain!L$15+Spain!L$16+Switzerland!L$23+Switzerland!L$25+Switzerland!L$27+Switzerland!L$26+Netherlands!L$14+UK!L$18+'Czech Republic'!L$17+'Czech Republic'!L$18+'Czech Republic'!L$19+'Czech Republic'!L$20+France!L$31+France!L$35+France!L$36+France!L$37+France!L$30</f>
        <v>8972</v>
      </c>
      <c r="M43" s="54">
        <f>Belgium!M$19+Denmark!M$26+Germany!M$25+Italy!M$28+Poland!M$24+Spain!M$15+Spain!M$16+Switzerland!M$23+Switzerland!M$25+Switzerland!M$27+Switzerland!M$26+Netherlands!M$14+UK!M$18+'Czech Republic'!M$17+'Czech Republic'!M$18+'Czech Republic'!M$19+'Czech Republic'!M$20+France!M$31+France!M$35+France!M$36+France!M$37+France!M$30</f>
        <v>3330</v>
      </c>
      <c r="N43" s="37">
        <f>Belgium!N$19+Denmark!N$26+Germany!N$25+Italy!N$28+Poland!N$24+Spain!N$15+Spain!N$16+Switzerland!N$23+Switzerland!N$25+Switzerland!N$27+Switzerland!N$26+Netherlands!N$14+UK!N$18+'Czech Republic'!N$17+'Czech Republic'!N$18+'Czech Republic'!N$19+'Czech Republic'!N$20+France!N$31+France!N$35+France!N$36+France!N$37+France!N$30</f>
        <v>3672.6949393896898</v>
      </c>
      <c r="O43" s="54">
        <f>Belgium!O$19+Denmark!O$26+Germany!O$25+Italy!O$28+Poland!O$24+Spain!O$15+Spain!O$16+Switzerland!O$23+Switzerland!O$25+Switzerland!O$27+Netherlands!O$14+UK!O$18+'Czech Republic'!O$17+'Czech Republic'!O$18+'Czech Republic'!O$19+'Czech Republic'!O$20+France!O$31+France!O$35+France!O$36+France!O$37+France!O$30</f>
        <v>2872.8043547485427</v>
      </c>
      <c r="P43" s="54">
        <f>Belgium!P$19+Denmark!P$26+Germany!P$25+Italy!P$28+Poland!P$24+Spain!P$15+Spain!P$16+Switzerland!P$23+Switzerland!P$25+Switzerland!P$27+Netherlands!P$14+UK!P$18+'Czech Republic'!P$17+'Czech Republic'!P$18+'Czech Republic'!P$19+'Czech Republic'!P$20+France!P$31+France!P$35+France!P$36+France!P$37+France!P$30</f>
        <v>5634.0069668674578</v>
      </c>
      <c r="Q43" s="54">
        <f>Belgium!Q$19+Denmark!Q$26+Germany!Q$25+Italy!Q$28+Poland!Q$24+Spain!Q$15+Spain!Q$16+Switzerland!Q$23+Switzerland!Q$25+Switzerland!Q$27+Netherlands!Q$14+UK!Q$18+'Czech Republic'!Q$17+'Czech Republic'!Q$18+'Czech Republic'!Q$19+'Czech Republic'!Q$20+France!Q$31+France!Q$35+France!Q$36+France!Q$37+France!Q$30</f>
        <v>8067.0310100877869</v>
      </c>
      <c r="R43" s="54">
        <f>Belgium!R$19+Denmark!R$26+Germany!R$25+Italy!R$28+Poland!R$24+Spain!R$15+Spain!R$16+Switzerland!R$23+Switzerland!R$25+Switzerland!R$27+Netherlands!R$14+UK!R$18+'Czech Republic'!R$17+'Czech Republic'!R$20+France!R$30+France!R$31+France!R$34+France!R$35+France!R$36+France!R$37</f>
        <v>337.12830671637698</v>
      </c>
      <c r="S43" s="54">
        <f>Belgium!S$19+Denmark!S$26+Germany!S$25+Italy!S$28+Poland!S$24+Spain!S$15+Spain!S$16+Switzerland!S$23+Switzerland!S$25+Switzerland!S$27+Netherlands!S$14+UK!S$18+'Czech Republic'!S$17+'Czech Republic'!S$20+France!S$30+France!S$31+France!S$34+France!S$35+France!S$36+France!S$37</f>
        <v>6517.8213674782182</v>
      </c>
      <c r="T43" s="54">
        <f>Belgium!T$19+Denmark!T$26+Germany!T$25+Italy!T$28+Poland!T$24+Spain!T$15+Spain!T$16+Switzerland!T$23+Switzerland!T$25+Switzerland!T$27+Netherlands!T$14+UK!T$18+'Czech Republic'!T$17+'Czech Republic'!T$20</f>
        <v>857</v>
      </c>
      <c r="U43" s="54">
        <f>Belgium!U$19+Denmark!U$26+Germany!U$25+Italy!U$28+Poland!U$24+Spain!U$15+Spain!U$16+Switzerland!U$23+Switzerland!U$25+Switzerland!U$27+Netherlands!U$14+UK!U$18+'Czech Republic'!U$17+'Czech Republic'!U$20+France!U$30+France!U$31+France!U$34+France!U$35+France!U$36+France!U$37</f>
        <v>2617.4966621281746</v>
      </c>
      <c r="V43" s="61">
        <f>Belgium!V$19+Denmark!V$26+Germany!V$25+Italy!V$28+Poland!V$24+Spain!V$15+Spain!V$16+Switzerland!V$23+Switzerland!V$25+Switzerland!V$27+Netherlands!V$14+UK!V$18+'Czech Republic'!V$17+'Czech Republic'!V$20</f>
        <v>904.98003496166564</v>
      </c>
    </row>
    <row r="44" spans="1:22" s="46" customFormat="1" ht="13.8" thickBot="1" x14ac:dyDescent="0.3">
      <c r="A44" s="55" t="s">
        <v>91</v>
      </c>
      <c r="B44" s="77">
        <f t="shared" si="5"/>
        <v>0.30246465574560116</v>
      </c>
      <c r="C44" s="136">
        <v>-107732.15017919074</v>
      </c>
      <c r="D44" s="86">
        <v>-136099.77214934424</v>
      </c>
      <c r="E44" s="113">
        <f t="shared" ref="E44" si="6">SUM(E36:E43)</f>
        <v>212240.76392695407</v>
      </c>
      <c r="F44" s="86">
        <f t="shared" ref="F44:J44" si="7">SUM(F36:F43)</f>
        <v>162953.18494109614</v>
      </c>
      <c r="G44" s="86">
        <f t="shared" si="7"/>
        <v>180686.68061894679</v>
      </c>
      <c r="H44" s="86">
        <f t="shared" si="7"/>
        <v>161075.95902830904</v>
      </c>
      <c r="I44" s="86">
        <f t="shared" si="7"/>
        <v>202801.08256212261</v>
      </c>
      <c r="J44" s="86">
        <f t="shared" si="7"/>
        <v>230429.80754397958</v>
      </c>
      <c r="K44" s="86">
        <f t="shared" ref="K44:P44" si="8">SUM(K36:K43)</f>
        <v>182671.83190689239</v>
      </c>
      <c r="L44" s="86">
        <f t="shared" si="8"/>
        <v>236721</v>
      </c>
      <c r="M44" s="86">
        <f t="shared" si="8"/>
        <v>169859</v>
      </c>
      <c r="N44" s="74">
        <f t="shared" si="8"/>
        <v>184451.75447246744</v>
      </c>
      <c r="O44" s="74">
        <f t="shared" si="8"/>
        <v>223000.03385091055</v>
      </c>
      <c r="P44" s="74">
        <f t="shared" si="8"/>
        <v>199694.8335167084</v>
      </c>
      <c r="Q44" s="74">
        <f t="shared" ref="Q44:V44" si="9">SUM(Q36:Q43)</f>
        <v>171519.0076408539</v>
      </c>
      <c r="R44" s="74">
        <f t="shared" si="9"/>
        <v>88992.174493191967</v>
      </c>
      <c r="S44" s="74">
        <f t="shared" si="9"/>
        <v>177710.56022346052</v>
      </c>
      <c r="T44" s="74">
        <f t="shared" si="9"/>
        <v>170826</v>
      </c>
      <c r="U44" s="74">
        <f t="shared" si="9"/>
        <v>152156.84895934441</v>
      </c>
      <c r="V44" s="75">
        <f t="shared" si="9"/>
        <v>68817.771489076345</v>
      </c>
    </row>
    <row r="45" spans="1:22" x14ac:dyDescent="0.25">
      <c r="A45" s="46"/>
      <c r="B45" s="3" t="s">
        <v>166</v>
      </c>
      <c r="C45" s="46"/>
      <c r="D45" s="46"/>
      <c r="E45" s="46"/>
    </row>
    <row r="46" spans="1:22" s="46" customFormat="1" x14ac:dyDescent="0.25"/>
    <row r="47" spans="1:22" s="46" customFormat="1" x14ac:dyDescent="0.25">
      <c r="D47" s="50"/>
      <c r="E47" s="50"/>
    </row>
  </sheetData>
  <phoneticPr fontId="2" type="noConversion"/>
  <conditionalFormatting sqref="E1">
    <cfRule type="expression" dxfId="25" priority="2">
      <formula>ISBLANK(XFD1)=FALSE</formula>
    </cfRule>
  </conditionalFormatting>
  <conditionalFormatting sqref="E35">
    <cfRule type="expression" dxfId="24" priority="1">
      <formula>ISBLANK(XFD35)=FALSE</formula>
    </cfRule>
  </conditionalFormatting>
  <pageMargins left="0.75" right="0.75" top="1" bottom="1" header="0.5" footer="0.5"/>
  <pageSetup paperSize="9" fitToHeight="3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38"/>
  <sheetViews>
    <sheetView zoomScaleNormal="100" workbookViewId="0"/>
  </sheetViews>
  <sheetFormatPr defaultColWidth="8.6640625" defaultRowHeight="13.2" x14ac:dyDescent="0.25"/>
  <cols>
    <col min="1" max="1" width="19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2" width="11.6640625" customWidth="1"/>
    <col min="13" max="13" width="12.109375" customWidth="1"/>
    <col min="14" max="14" width="10.6640625" customWidth="1"/>
    <col min="15" max="24" width="10.109375" bestFit="1" customWidth="1"/>
  </cols>
  <sheetData>
    <row r="1" spans="1:24" ht="13.8" thickBot="1" x14ac:dyDescent="0.3">
      <c r="A1" s="38" t="s">
        <v>90</v>
      </c>
      <c r="B1" s="24" t="s">
        <v>169</v>
      </c>
      <c r="C1" s="114" t="s">
        <v>178</v>
      </c>
      <c r="D1" s="69" t="s">
        <v>170</v>
      </c>
      <c r="E1" s="116">
        <v>46113</v>
      </c>
      <c r="F1" s="99">
        <v>45748</v>
      </c>
      <c r="G1" s="99">
        <v>45383</v>
      </c>
      <c r="H1" s="99">
        <v>45017</v>
      </c>
      <c r="I1" s="99">
        <v>44652</v>
      </c>
      <c r="J1" s="99">
        <v>44287</v>
      </c>
      <c r="K1" s="99">
        <v>43922</v>
      </c>
      <c r="L1" s="99">
        <v>43556</v>
      </c>
      <c r="M1" s="99">
        <v>43191</v>
      </c>
      <c r="N1" s="25">
        <v>42826</v>
      </c>
      <c r="O1" s="25">
        <v>42461</v>
      </c>
      <c r="P1" s="25">
        <v>42095</v>
      </c>
      <c r="Q1" s="25">
        <v>41730</v>
      </c>
      <c r="R1" s="25">
        <v>41365</v>
      </c>
      <c r="S1" s="25">
        <v>41000</v>
      </c>
      <c r="T1" s="25">
        <v>40634</v>
      </c>
      <c r="U1" s="25">
        <v>40269</v>
      </c>
      <c r="V1" s="25">
        <v>39904</v>
      </c>
      <c r="W1" s="25">
        <v>39539</v>
      </c>
      <c r="X1" s="26">
        <v>39173</v>
      </c>
    </row>
    <row r="2" spans="1:24" x14ac:dyDescent="0.25">
      <c r="A2" s="20" t="s">
        <v>93</v>
      </c>
      <c r="B2" s="27">
        <f t="shared" ref="B2:B21" si="0">IFERROR(((E2-F2)/F2),"")</f>
        <v>2.5121951219512186</v>
      </c>
      <c r="C2" s="106">
        <v>-97.657252888318354</v>
      </c>
      <c r="D2" s="1">
        <v>-3.1688596491228065</v>
      </c>
      <c r="E2" s="91">
        <v>3.6585365853658534</v>
      </c>
      <c r="F2" s="1">
        <v>1.0416666666666667</v>
      </c>
      <c r="G2" s="1">
        <v>120.83333333333333</v>
      </c>
      <c r="H2" s="1">
        <v>562.08333333333337</v>
      </c>
      <c r="I2" s="1">
        <v>231.25</v>
      </c>
      <c r="J2" s="1">
        <v>206</v>
      </c>
      <c r="K2" s="1">
        <v>380</v>
      </c>
      <c r="L2" s="1">
        <v>496.68</v>
      </c>
      <c r="M2" s="1">
        <v>23</v>
      </c>
      <c r="N2" s="1"/>
      <c r="O2" s="1">
        <v>639</v>
      </c>
      <c r="P2" s="1">
        <v>934.8</v>
      </c>
      <c r="Q2" s="1">
        <v>1180</v>
      </c>
      <c r="R2" s="1">
        <v>867.18</v>
      </c>
      <c r="S2" s="1">
        <v>1530</v>
      </c>
      <c r="T2" s="1">
        <v>1450</v>
      </c>
      <c r="U2" s="1">
        <v>1666</v>
      </c>
      <c r="V2" s="1">
        <v>2979</v>
      </c>
      <c r="W2" s="1">
        <v>2094</v>
      </c>
      <c r="X2" s="29">
        <v>1828</v>
      </c>
    </row>
    <row r="3" spans="1:24" x14ac:dyDescent="0.25">
      <c r="A3" s="20" t="s">
        <v>4</v>
      </c>
      <c r="B3" s="27" t="str">
        <f t="shared" si="0"/>
        <v/>
      </c>
      <c r="C3" s="106">
        <v>-130.71245186136068</v>
      </c>
      <c r="D3" s="1">
        <v>0</v>
      </c>
      <c r="E3" s="91">
        <v>189.02439024390245</v>
      </c>
      <c r="F3" s="1">
        <v>0</v>
      </c>
      <c r="G3" s="1">
        <v>0</v>
      </c>
      <c r="H3" s="1">
        <v>45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/>
      <c r="O3" s="1">
        <v>0</v>
      </c>
      <c r="P3" s="1">
        <v>0</v>
      </c>
      <c r="Q3" s="1">
        <v>0</v>
      </c>
      <c r="R3" s="1">
        <v>0</v>
      </c>
      <c r="S3" s="1">
        <v>3</v>
      </c>
      <c r="T3" s="1">
        <v>0</v>
      </c>
      <c r="U3" s="1">
        <v>0</v>
      </c>
      <c r="V3" s="1">
        <v>4</v>
      </c>
      <c r="W3" s="1">
        <v>0</v>
      </c>
      <c r="X3" s="29">
        <v>0</v>
      </c>
    </row>
    <row r="4" spans="1:24" x14ac:dyDescent="0.25">
      <c r="A4" s="20" t="s">
        <v>11</v>
      </c>
      <c r="B4" s="27">
        <f t="shared" si="0"/>
        <v>0.86684610358581304</v>
      </c>
      <c r="C4" s="106">
        <v>-754.01369276850619</v>
      </c>
      <c r="D4" s="1">
        <v>-600.00401155327336</v>
      </c>
      <c r="E4" s="91">
        <v>4863.6178861788621</v>
      </c>
      <c r="F4" s="1">
        <v>2605.2591463414633</v>
      </c>
      <c r="G4" s="1">
        <v>3552.0071138211383</v>
      </c>
      <c r="H4" s="1">
        <v>6591.041666666667</v>
      </c>
      <c r="I4" s="1">
        <v>4350.625</v>
      </c>
      <c r="J4" s="1">
        <v>2904.15</v>
      </c>
      <c r="K4" s="1">
        <v>3913</v>
      </c>
      <c r="L4" s="1">
        <v>8500.880000000001</v>
      </c>
      <c r="M4" s="1">
        <v>1433</v>
      </c>
      <c r="N4" s="1">
        <v>418.02</v>
      </c>
      <c r="O4" s="1">
        <v>5184.04</v>
      </c>
      <c r="P4" s="1">
        <v>3885.78</v>
      </c>
      <c r="Q4" s="1">
        <v>6324.02</v>
      </c>
      <c r="R4" s="1">
        <v>2360</v>
      </c>
      <c r="S4" s="1">
        <v>4308</v>
      </c>
      <c r="T4" s="1">
        <v>1818</v>
      </c>
      <c r="U4" s="1">
        <v>6496</v>
      </c>
      <c r="V4" s="1">
        <v>3498</v>
      </c>
      <c r="W4" s="1">
        <v>1506</v>
      </c>
      <c r="X4" s="29">
        <v>1023</v>
      </c>
    </row>
    <row r="5" spans="1:24" x14ac:dyDescent="0.25">
      <c r="A5" s="20" t="s">
        <v>2</v>
      </c>
      <c r="B5" s="27">
        <f t="shared" si="0"/>
        <v>725.99999999999989</v>
      </c>
      <c r="C5" s="106">
        <v>-701.82926829268308</v>
      </c>
      <c r="D5" s="1">
        <v>-122.5609756097561</v>
      </c>
      <c r="E5" s="91">
        <v>1773.1707317073169</v>
      </c>
      <c r="F5" s="1">
        <v>2.4390243902439024</v>
      </c>
      <c r="G5" s="1">
        <v>841.46341463414637</v>
      </c>
      <c r="H5" s="1">
        <v>2242.5</v>
      </c>
      <c r="I5" s="1">
        <v>657.5</v>
      </c>
      <c r="J5" s="1">
        <v>400.4</v>
      </c>
      <c r="K5" s="1">
        <v>135</v>
      </c>
      <c r="L5" s="1">
        <v>2462.4</v>
      </c>
      <c r="M5" s="1">
        <v>0</v>
      </c>
      <c r="N5" s="1"/>
      <c r="O5" s="1">
        <v>676.26</v>
      </c>
      <c r="P5" s="1">
        <v>859.86</v>
      </c>
      <c r="Q5" s="1">
        <v>883.3</v>
      </c>
      <c r="R5" s="1">
        <v>236.64</v>
      </c>
      <c r="S5" s="1">
        <v>1443</v>
      </c>
      <c r="T5" s="1">
        <v>1252</v>
      </c>
      <c r="U5" s="1">
        <v>1234</v>
      </c>
      <c r="V5" s="1">
        <v>827</v>
      </c>
      <c r="W5" s="1">
        <v>1400</v>
      </c>
      <c r="X5" s="29">
        <v>2159</v>
      </c>
    </row>
    <row r="6" spans="1:24" x14ac:dyDescent="0.25">
      <c r="A6" s="20" t="s">
        <v>151</v>
      </c>
      <c r="B6" s="27">
        <f t="shared" si="0"/>
        <v>0.45144960883571089</v>
      </c>
      <c r="C6" s="106">
        <v>-1465.5006418485245</v>
      </c>
      <c r="D6" s="1">
        <v>-1672.3684210526317</v>
      </c>
      <c r="E6" s="91">
        <v>3846.3414634146338</v>
      </c>
      <c r="F6" s="1">
        <v>2650</v>
      </c>
      <c r="G6" s="1">
        <v>3079.2682926829266</v>
      </c>
      <c r="H6" s="1">
        <v>4857.5</v>
      </c>
      <c r="I6" s="1">
        <v>2376.25</v>
      </c>
      <c r="J6" s="1">
        <v>7453.2999999999993</v>
      </c>
      <c r="K6" s="1">
        <v>3419</v>
      </c>
      <c r="L6" s="1">
        <v>6673.86</v>
      </c>
      <c r="M6" s="1">
        <v>2416</v>
      </c>
      <c r="N6" s="1">
        <v>1389.24</v>
      </c>
      <c r="O6" s="1">
        <v>4456.38</v>
      </c>
      <c r="P6" s="1">
        <v>3906.6</v>
      </c>
      <c r="Q6" s="1">
        <v>2486.7600000000002</v>
      </c>
      <c r="R6" s="1">
        <v>1482.06</v>
      </c>
      <c r="S6" s="1">
        <v>1441</v>
      </c>
      <c r="T6" s="1"/>
      <c r="U6" s="1"/>
      <c r="V6" s="1"/>
      <c r="W6" s="1"/>
      <c r="X6" s="29"/>
    </row>
    <row r="7" spans="1:24" x14ac:dyDescent="0.25">
      <c r="A7" s="20" t="s">
        <v>12</v>
      </c>
      <c r="B7" s="27">
        <f t="shared" si="0"/>
        <v>0.40902255639097745</v>
      </c>
      <c r="C7" s="106">
        <v>-338.31835686777913</v>
      </c>
      <c r="D7" s="1">
        <v>-255.68035943517316</v>
      </c>
      <c r="E7" s="91">
        <v>2285.3658536585367</v>
      </c>
      <c r="F7" s="1">
        <v>1621.9512195121952</v>
      </c>
      <c r="G7" s="1">
        <v>1409.7560975609756</v>
      </c>
      <c r="H7" s="1">
        <v>1690</v>
      </c>
      <c r="I7" s="1">
        <v>1803.75</v>
      </c>
      <c r="J7" s="1">
        <v>430.3</v>
      </c>
      <c r="K7" s="1">
        <v>1382</v>
      </c>
      <c r="L7" s="1">
        <v>2395.36</v>
      </c>
      <c r="M7" s="1">
        <v>666</v>
      </c>
      <c r="N7" s="70">
        <v>44.88</v>
      </c>
      <c r="O7" s="70">
        <v>1757.46</v>
      </c>
      <c r="P7" s="70">
        <v>1504.28</v>
      </c>
      <c r="Q7" s="70">
        <v>1584.06</v>
      </c>
      <c r="R7" s="70">
        <v>778.02</v>
      </c>
      <c r="S7" s="70">
        <v>1987</v>
      </c>
      <c r="T7" s="70">
        <v>205</v>
      </c>
      <c r="U7" s="70">
        <v>1461</v>
      </c>
      <c r="V7" s="70">
        <v>931</v>
      </c>
      <c r="W7" s="1">
        <v>1210</v>
      </c>
      <c r="X7" s="29">
        <v>337</v>
      </c>
    </row>
    <row r="8" spans="1:24" x14ac:dyDescent="0.25">
      <c r="A8" s="20" t="s">
        <v>9</v>
      </c>
      <c r="B8" s="27">
        <f t="shared" si="0"/>
        <v>3.1701194167711293</v>
      </c>
      <c r="C8" s="106">
        <v>-4970.7782413350433</v>
      </c>
      <c r="D8" s="1">
        <v>-2735.279204107831</v>
      </c>
      <c r="E8" s="91">
        <v>19270.274390243903</v>
      </c>
      <c r="F8" s="1">
        <v>4621.0365853658532</v>
      </c>
      <c r="G8" s="1">
        <v>13751.905487804877</v>
      </c>
      <c r="H8" s="1">
        <v>15988.541666666666</v>
      </c>
      <c r="I8" s="1">
        <v>13556.25</v>
      </c>
      <c r="J8" s="1">
        <v>11275.9</v>
      </c>
      <c r="K8" s="1">
        <v>6988</v>
      </c>
      <c r="L8" s="1">
        <v>12591.1</v>
      </c>
      <c r="M8" s="37">
        <f>4098+480</f>
        <v>4578</v>
      </c>
      <c r="N8" s="1">
        <v>157.82</v>
      </c>
      <c r="O8" s="1">
        <v>10852.96</v>
      </c>
      <c r="P8" s="1">
        <v>8816.02</v>
      </c>
      <c r="Q8" s="1">
        <v>11994.02</v>
      </c>
      <c r="R8" s="1">
        <v>4280.66</v>
      </c>
      <c r="S8" s="1">
        <v>8823</v>
      </c>
      <c r="T8" s="1">
        <v>12415</v>
      </c>
      <c r="U8" s="1">
        <v>7839</v>
      </c>
      <c r="V8" s="1">
        <v>10653</v>
      </c>
      <c r="W8" s="1">
        <v>3148</v>
      </c>
      <c r="X8" s="29">
        <v>3148</v>
      </c>
    </row>
    <row r="9" spans="1:24" x14ac:dyDescent="0.25">
      <c r="A9" s="20" t="s">
        <v>14</v>
      </c>
      <c r="B9" s="122" t="str">
        <f t="shared" si="0"/>
        <v/>
      </c>
      <c r="C9" s="123">
        <v>0</v>
      </c>
      <c r="D9" s="1">
        <v>0</v>
      </c>
      <c r="E9" s="9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>
        <v>0</v>
      </c>
      <c r="S9" s="1">
        <v>0</v>
      </c>
      <c r="T9" s="1">
        <v>0</v>
      </c>
      <c r="U9" s="1">
        <v>169</v>
      </c>
      <c r="V9" s="1">
        <v>10</v>
      </c>
      <c r="W9" s="1">
        <v>0</v>
      </c>
      <c r="X9" s="29">
        <v>57</v>
      </c>
    </row>
    <row r="10" spans="1:24" x14ac:dyDescent="0.25">
      <c r="A10" s="20" t="s">
        <v>3</v>
      </c>
      <c r="B10" s="122">
        <f t="shared" si="0"/>
        <v>0.5705041701500202</v>
      </c>
      <c r="C10" s="123">
        <v>-2726.7693624304666</v>
      </c>
      <c r="D10" s="1">
        <v>-1822.1592854086448</v>
      </c>
      <c r="E10" s="91">
        <v>12122.967479674797</v>
      </c>
      <c r="F10" s="1">
        <v>7719.1565040650403</v>
      </c>
      <c r="G10" s="1">
        <v>16533.282520325203</v>
      </c>
      <c r="H10" s="1">
        <v>15136.666666666666</v>
      </c>
      <c r="I10" s="1">
        <v>19288.125</v>
      </c>
      <c r="J10" s="1">
        <v>24036.550000000003</v>
      </c>
      <c r="K10" s="1">
        <v>15128</v>
      </c>
      <c r="L10" s="1">
        <v>17841.5</v>
      </c>
      <c r="M10" s="1">
        <f>13557+354</f>
        <v>13911</v>
      </c>
      <c r="N10" s="1">
        <v>11151.02</v>
      </c>
      <c r="O10" s="1">
        <v>27979.119999999999</v>
      </c>
      <c r="P10" s="1">
        <v>36393.879999999997</v>
      </c>
      <c r="Q10" s="1">
        <v>22835.42</v>
      </c>
      <c r="R10" s="1">
        <v>28179.200000000001</v>
      </c>
      <c r="S10" s="1">
        <v>37219</v>
      </c>
      <c r="T10" s="1">
        <v>30242</v>
      </c>
      <c r="U10" s="1">
        <v>31009</v>
      </c>
      <c r="V10" s="1">
        <v>34408</v>
      </c>
      <c r="W10" s="1">
        <v>29897</v>
      </c>
      <c r="X10" s="29">
        <v>25215</v>
      </c>
    </row>
    <row r="11" spans="1:24" x14ac:dyDescent="0.25">
      <c r="A11" s="20" t="s">
        <v>17</v>
      </c>
      <c r="B11" s="122">
        <f t="shared" si="0"/>
        <v>5.0361445783132526</v>
      </c>
      <c r="C11" s="123">
        <v>-158.76123234916554</v>
      </c>
      <c r="D11" s="1">
        <v>-17.201540436456995</v>
      </c>
      <c r="E11" s="91">
        <v>610.97560975609758</v>
      </c>
      <c r="F11" s="1">
        <v>101.21951219512195</v>
      </c>
      <c r="G11" s="1">
        <v>332.92682926829269</v>
      </c>
      <c r="H11" s="1">
        <v>428.54166666666669</v>
      </c>
      <c r="I11" s="1">
        <v>202.5</v>
      </c>
      <c r="J11" s="1">
        <v>106.6</v>
      </c>
      <c r="K11" s="1">
        <v>23</v>
      </c>
      <c r="L11" s="1">
        <v>15.24</v>
      </c>
      <c r="M11" s="1">
        <v>9</v>
      </c>
      <c r="N11" s="70"/>
      <c r="O11" s="70">
        <v>16.32</v>
      </c>
      <c r="P11" s="70">
        <v>264.18</v>
      </c>
      <c r="Q11" s="70">
        <v>16.32</v>
      </c>
      <c r="R11" s="70">
        <v>8.16</v>
      </c>
      <c r="S11" s="70">
        <v>16</v>
      </c>
      <c r="T11" s="70">
        <v>35</v>
      </c>
      <c r="U11" s="70">
        <v>10</v>
      </c>
      <c r="V11" s="70">
        <v>0</v>
      </c>
      <c r="W11" s="1">
        <v>0</v>
      </c>
      <c r="X11" s="29">
        <v>0</v>
      </c>
    </row>
    <row r="12" spans="1:24" x14ac:dyDescent="0.25">
      <c r="A12" s="21" t="s">
        <v>10</v>
      </c>
      <c r="B12" s="122">
        <f t="shared" si="0"/>
        <v>2.6659439144261352</v>
      </c>
      <c r="C12" s="123">
        <v>-296.73379332477543</v>
      </c>
      <c r="D12" s="1">
        <v>-133.23973042362013</v>
      </c>
      <c r="E12" s="91">
        <v>1933.0030487804879</v>
      </c>
      <c r="F12" s="1">
        <v>527.28658536585363</v>
      </c>
      <c r="G12" s="1">
        <v>1837.4745934959351</v>
      </c>
      <c r="H12" s="1">
        <v>4238.125</v>
      </c>
      <c r="I12" s="1">
        <v>3389.1666666666665</v>
      </c>
      <c r="J12" s="1">
        <v>4540.45</v>
      </c>
      <c r="K12" s="1">
        <v>4550</v>
      </c>
      <c r="L12" s="1">
        <v>8920.58</v>
      </c>
      <c r="M12" s="1">
        <f>1929+151</f>
        <v>2080</v>
      </c>
      <c r="N12" s="70">
        <v>155.66</v>
      </c>
      <c r="O12" s="70">
        <v>13207.92</v>
      </c>
      <c r="P12" s="70">
        <v>8894.98</v>
      </c>
      <c r="Q12" s="70">
        <v>16406.8</v>
      </c>
      <c r="R12" s="70">
        <v>10383.26</v>
      </c>
      <c r="S12" s="70">
        <v>15814</v>
      </c>
      <c r="T12" s="70">
        <v>16080</v>
      </c>
      <c r="U12" s="70">
        <v>16891</v>
      </c>
      <c r="V12" s="70">
        <v>15028</v>
      </c>
      <c r="W12" s="1">
        <v>12705</v>
      </c>
      <c r="X12" s="29">
        <v>15116</v>
      </c>
    </row>
    <row r="13" spans="1:24" x14ac:dyDescent="0.25">
      <c r="A13" s="21" t="s">
        <v>26</v>
      </c>
      <c r="B13" s="122">
        <f t="shared" si="0"/>
        <v>1.5870995201981122</v>
      </c>
      <c r="C13" s="123">
        <v>-215.48620025673881</v>
      </c>
      <c r="D13" s="1">
        <v>-283.89388104407362</v>
      </c>
      <c r="E13" s="91">
        <v>3397.4085365853662</v>
      </c>
      <c r="F13" s="1">
        <v>1313.2113821138212</v>
      </c>
      <c r="G13" s="1">
        <v>980.61483739837388</v>
      </c>
      <c r="H13" s="1">
        <v>3168.5416666666665</v>
      </c>
      <c r="I13" s="1">
        <v>2702.7083333333335</v>
      </c>
      <c r="J13" s="1">
        <v>1613.8500000000001</v>
      </c>
      <c r="K13" s="1">
        <v>3125</v>
      </c>
      <c r="L13" s="1">
        <v>6280.88</v>
      </c>
      <c r="M13" s="1">
        <f>1097+147</f>
        <v>1244</v>
      </c>
      <c r="N13" s="70">
        <v>269.98</v>
      </c>
      <c r="O13" s="70">
        <v>5689.24</v>
      </c>
      <c r="P13" s="70">
        <v>6023.06</v>
      </c>
      <c r="Q13" s="70">
        <v>5921.68</v>
      </c>
      <c r="R13" s="70">
        <v>4500.24</v>
      </c>
      <c r="S13" s="70">
        <v>6774</v>
      </c>
      <c r="T13" s="70">
        <v>6828</v>
      </c>
      <c r="U13" s="70">
        <v>7705</v>
      </c>
      <c r="V13" s="70">
        <v>5666</v>
      </c>
      <c r="W13" s="1">
        <v>5694</v>
      </c>
      <c r="X13" s="29">
        <v>6544</v>
      </c>
    </row>
    <row r="14" spans="1:24" x14ac:dyDescent="0.25">
      <c r="A14" s="20" t="s">
        <v>25</v>
      </c>
      <c r="B14" s="122" t="str">
        <f t="shared" si="0"/>
        <v/>
      </c>
      <c r="C14" s="123">
        <v>0</v>
      </c>
      <c r="D14" s="1">
        <v>0</v>
      </c>
      <c r="E14" s="9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8</v>
      </c>
      <c r="L14" s="1"/>
      <c r="M14" s="1">
        <v>0</v>
      </c>
      <c r="N14" s="70"/>
      <c r="O14" s="70">
        <v>2238.9</v>
      </c>
      <c r="P14" s="70">
        <v>1465.74</v>
      </c>
      <c r="Q14" s="70">
        <v>2714.22</v>
      </c>
      <c r="R14" s="70">
        <v>2023.68</v>
      </c>
      <c r="S14" s="70">
        <v>3527</v>
      </c>
      <c r="T14" s="70">
        <v>3849</v>
      </c>
      <c r="U14" s="70">
        <v>4252</v>
      </c>
      <c r="V14" s="70">
        <v>3390</v>
      </c>
      <c r="W14" s="1">
        <v>4186</v>
      </c>
      <c r="X14" s="29">
        <v>3654</v>
      </c>
    </row>
    <row r="15" spans="1:24" x14ac:dyDescent="0.25">
      <c r="A15" s="20" t="s">
        <v>94</v>
      </c>
      <c r="B15" s="122">
        <f t="shared" si="0"/>
        <v>2.9894792214623882</v>
      </c>
      <c r="C15" s="123">
        <v>-521.37355584082161</v>
      </c>
      <c r="D15" s="1">
        <v>-114.96683782627298</v>
      </c>
      <c r="E15" s="91">
        <v>770.73170731707319</v>
      </c>
      <c r="F15" s="1">
        <v>193.1910569105691</v>
      </c>
      <c r="G15" s="1">
        <v>28.048780487804876</v>
      </c>
      <c r="H15" s="1">
        <v>2.5</v>
      </c>
      <c r="I15" s="1">
        <v>2.5</v>
      </c>
      <c r="J15" s="1">
        <v>8.4</v>
      </c>
      <c r="K15" s="1">
        <v>0</v>
      </c>
      <c r="L15" s="1"/>
      <c r="M15" s="1">
        <v>0</v>
      </c>
      <c r="N15" s="70"/>
      <c r="O15" s="70">
        <v>0</v>
      </c>
      <c r="P15" s="70">
        <v>0</v>
      </c>
      <c r="Q15" s="70">
        <v>0</v>
      </c>
      <c r="R15" s="70">
        <v>0</v>
      </c>
      <c r="S15" s="70">
        <v>15</v>
      </c>
      <c r="T15" s="70">
        <v>0</v>
      </c>
      <c r="U15" s="70">
        <v>0</v>
      </c>
      <c r="V15" s="70">
        <v>0</v>
      </c>
      <c r="W15" s="1">
        <v>7</v>
      </c>
      <c r="X15" s="29">
        <v>10</v>
      </c>
    </row>
    <row r="16" spans="1:24" x14ac:dyDescent="0.25">
      <c r="A16" s="20" t="s">
        <v>13</v>
      </c>
      <c r="B16" s="122">
        <f t="shared" si="0"/>
        <v>0.57105454749103945</v>
      </c>
      <c r="C16" s="123">
        <v>-1014.3739302524605</v>
      </c>
      <c r="D16" s="1">
        <v>-843.78690629011544</v>
      </c>
      <c r="E16" s="91">
        <v>2850.8892276422762</v>
      </c>
      <c r="F16" s="1">
        <v>1814.6341463414633</v>
      </c>
      <c r="G16" s="1">
        <v>2338.8973577235774</v>
      </c>
      <c r="H16" s="1">
        <v>4408.333333333333</v>
      </c>
      <c r="I16" s="1">
        <v>2478.9583333333335</v>
      </c>
      <c r="J16" s="1">
        <v>513.65</v>
      </c>
      <c r="K16" s="1">
        <v>551</v>
      </c>
      <c r="L16" s="1">
        <v>829.14</v>
      </c>
      <c r="M16" s="1">
        <v>405</v>
      </c>
      <c r="N16" s="70">
        <v>60.18</v>
      </c>
      <c r="O16" s="70">
        <v>949.06</v>
      </c>
      <c r="P16" s="70">
        <v>626.14</v>
      </c>
      <c r="Q16" s="70">
        <v>1220.06</v>
      </c>
      <c r="R16" s="70">
        <v>862.92</v>
      </c>
      <c r="S16" s="70">
        <v>1218</v>
      </c>
      <c r="T16" s="70">
        <v>1388</v>
      </c>
      <c r="U16" s="70">
        <v>1279</v>
      </c>
      <c r="V16" s="70">
        <v>1522</v>
      </c>
      <c r="W16" s="1">
        <v>636</v>
      </c>
      <c r="X16" s="29">
        <v>737</v>
      </c>
    </row>
    <row r="17" spans="1:25" x14ac:dyDescent="0.25">
      <c r="A17" s="63" t="s">
        <v>132</v>
      </c>
      <c r="B17" s="122">
        <f t="shared" si="0"/>
        <v>4.0365763463995155</v>
      </c>
      <c r="C17" s="123">
        <v>-542.06942661531912</v>
      </c>
      <c r="D17" s="1">
        <v>-128.99497218656393</v>
      </c>
      <c r="E17" s="91">
        <v>3806.3516260162601</v>
      </c>
      <c r="F17" s="1">
        <v>755.74186991869919</v>
      </c>
      <c r="G17" s="1">
        <v>1670.3760162601625</v>
      </c>
      <c r="H17" s="1">
        <v>3498.3333333333335</v>
      </c>
      <c r="I17" s="1">
        <v>1629.375</v>
      </c>
      <c r="J17" s="1">
        <v>1596</v>
      </c>
      <c r="K17" s="1">
        <v>1697</v>
      </c>
      <c r="L17" s="1">
        <v>1549.38</v>
      </c>
      <c r="M17" s="1">
        <v>322</v>
      </c>
      <c r="N17" s="70"/>
      <c r="O17" s="70"/>
      <c r="P17" s="70"/>
      <c r="Q17" s="70"/>
      <c r="R17" s="70"/>
      <c r="S17" s="70"/>
      <c r="T17" s="70"/>
      <c r="U17" s="70"/>
      <c r="V17" s="70"/>
      <c r="W17" s="1"/>
      <c r="X17" s="29"/>
    </row>
    <row r="18" spans="1:25" x14ac:dyDescent="0.25">
      <c r="A18" s="20" t="s">
        <v>172</v>
      </c>
      <c r="B18" s="122" t="str">
        <f t="shared" si="0"/>
        <v/>
      </c>
      <c r="C18" s="123">
        <v>0</v>
      </c>
      <c r="D18" s="1">
        <v>0</v>
      </c>
      <c r="E18" s="91"/>
      <c r="F18" s="1"/>
      <c r="G18" s="1"/>
      <c r="H18" s="1"/>
      <c r="I18" s="1"/>
      <c r="J18" s="1">
        <v>0</v>
      </c>
      <c r="K18" s="1">
        <v>0</v>
      </c>
      <c r="L18" s="1">
        <v>2.04</v>
      </c>
      <c r="M18" s="1">
        <v>0</v>
      </c>
      <c r="N18" s="1"/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2</v>
      </c>
      <c r="U18" s="1">
        <v>98</v>
      </c>
      <c r="V18" s="1">
        <v>10</v>
      </c>
      <c r="W18" s="1">
        <v>49</v>
      </c>
      <c r="X18" s="29">
        <v>15</v>
      </c>
    </row>
    <row r="19" spans="1:25" x14ac:dyDescent="0.25">
      <c r="A19" s="20" t="s">
        <v>95</v>
      </c>
      <c r="B19" s="27">
        <f t="shared" si="0"/>
        <v>2.1429746342308023</v>
      </c>
      <c r="C19" s="106">
        <v>-464.99598844672664</v>
      </c>
      <c r="D19" s="1">
        <v>-266.21683782627292</v>
      </c>
      <c r="E19" s="91">
        <v>1844.7408536585367</v>
      </c>
      <c r="F19" s="1">
        <v>586.94105691056916</v>
      </c>
      <c r="G19" s="1">
        <v>494.89329268292681</v>
      </c>
      <c r="H19" s="1">
        <v>1835.625</v>
      </c>
      <c r="I19" s="1">
        <v>802.29166666666663</v>
      </c>
      <c r="J19" s="1">
        <v>86.35</v>
      </c>
      <c r="K19" s="1">
        <v>519</v>
      </c>
      <c r="L19" s="1">
        <v>3319.52</v>
      </c>
      <c r="M19" s="1">
        <v>0</v>
      </c>
      <c r="N19" s="1"/>
      <c r="O19" s="1">
        <v>2391.8000000000002</v>
      </c>
      <c r="P19" s="1">
        <v>2222.9</v>
      </c>
      <c r="Q19" s="1">
        <v>1999.94</v>
      </c>
      <c r="R19" s="1">
        <v>764.26</v>
      </c>
      <c r="S19" s="1">
        <v>2443</v>
      </c>
      <c r="T19" s="1">
        <v>1669</v>
      </c>
      <c r="U19" s="1">
        <v>2258</v>
      </c>
      <c r="V19" s="1">
        <v>7</v>
      </c>
      <c r="W19" s="1">
        <v>0</v>
      </c>
      <c r="X19" s="29">
        <v>0</v>
      </c>
    </row>
    <row r="20" spans="1:25" ht="13.8" thickBot="1" x14ac:dyDescent="0.3">
      <c r="A20" s="22" t="s">
        <v>58</v>
      </c>
      <c r="B20" s="28">
        <f t="shared" si="0"/>
        <v>4.0482560715717506</v>
      </c>
      <c r="C20" s="105">
        <v>-1273.0220367993143</v>
      </c>
      <c r="D20" s="10">
        <v>-1652.4885002139497</v>
      </c>
      <c r="E20" s="91">
        <v>6078.5569105691056</v>
      </c>
      <c r="F20" s="10">
        <v>1204.0904471544716</v>
      </c>
      <c r="G20" s="10">
        <v>4000.7876016260166</v>
      </c>
      <c r="H20" s="10">
        <v>4034.375</v>
      </c>
      <c r="I20" s="10">
        <v>2306.6666666666665</v>
      </c>
      <c r="J20" s="10">
        <v>2563.35</v>
      </c>
      <c r="K20" s="10">
        <v>1250</v>
      </c>
      <c r="L20" s="10">
        <v>1305.28</v>
      </c>
      <c r="M20" s="10">
        <f>56+35</f>
        <v>91</v>
      </c>
      <c r="N20" s="71">
        <v>205</v>
      </c>
      <c r="O20" s="71">
        <v>277.16000000000003</v>
      </c>
      <c r="P20" s="71">
        <v>380</v>
      </c>
      <c r="Q20" s="71">
        <v>1465.4</v>
      </c>
      <c r="R20" s="71">
        <v>203.04</v>
      </c>
      <c r="S20" s="71">
        <v>271</v>
      </c>
      <c r="T20" s="71">
        <v>1293</v>
      </c>
      <c r="U20" s="71">
        <v>265</v>
      </c>
      <c r="V20" s="71">
        <v>32</v>
      </c>
      <c r="W20" s="10">
        <v>100</v>
      </c>
      <c r="X20" s="31">
        <v>184</v>
      </c>
    </row>
    <row r="21" spans="1:25" ht="13.8" thickBot="1" x14ac:dyDescent="0.3">
      <c r="A21" s="32" t="s">
        <v>22</v>
      </c>
      <c r="B21" s="33">
        <f t="shared" si="0"/>
        <v>1.5526526112174215</v>
      </c>
      <c r="C21" s="118">
        <v>-15672.395432177989</v>
      </c>
      <c r="D21" s="34">
        <v>-10652.010323063751</v>
      </c>
      <c r="E21" s="113">
        <f t="shared" ref="E21" si="1">SUM(E2:E20)</f>
        <v>65647.078252032516</v>
      </c>
      <c r="F21" s="34">
        <f t="shared" ref="F21:L21" si="2">SUM(F2:F20)</f>
        <v>25717.200203252036</v>
      </c>
      <c r="G21" s="34">
        <f t="shared" si="2"/>
        <v>50972.53556910569</v>
      </c>
      <c r="H21" s="34">
        <f t="shared" si="2"/>
        <v>68727.708333333328</v>
      </c>
      <c r="I21" s="34">
        <f t="shared" si="2"/>
        <v>55777.916666666664</v>
      </c>
      <c r="J21" s="34">
        <f t="shared" si="2"/>
        <v>57735.249999999993</v>
      </c>
      <c r="K21" s="34">
        <f t="shared" si="2"/>
        <v>43068</v>
      </c>
      <c r="L21" s="34">
        <f t="shared" si="2"/>
        <v>73183.839999999997</v>
      </c>
      <c r="M21" s="34">
        <f t="shared" ref="M21:R21" si="3">SUM(M2:M20)</f>
        <v>27178</v>
      </c>
      <c r="N21" s="34">
        <f t="shared" si="3"/>
        <v>13851.8</v>
      </c>
      <c r="O21" s="34">
        <f t="shared" si="3"/>
        <v>76315.62</v>
      </c>
      <c r="P21" s="34">
        <f t="shared" si="3"/>
        <v>76178.22</v>
      </c>
      <c r="Q21" s="34">
        <f t="shared" si="3"/>
        <v>77032</v>
      </c>
      <c r="R21" s="34">
        <f t="shared" si="3"/>
        <v>56929.320000000007</v>
      </c>
      <c r="S21" s="34">
        <f t="shared" ref="S21:X21" si="4">SUM(S2:S20)</f>
        <v>86832</v>
      </c>
      <c r="T21" s="34">
        <f t="shared" si="4"/>
        <v>78526</v>
      </c>
      <c r="U21" s="34">
        <f t="shared" si="4"/>
        <v>82632</v>
      </c>
      <c r="V21" s="34">
        <f t="shared" si="4"/>
        <v>78965</v>
      </c>
      <c r="W21" s="34">
        <f t="shared" si="4"/>
        <v>62632</v>
      </c>
      <c r="X21" s="35">
        <f t="shared" si="4"/>
        <v>60027</v>
      </c>
    </row>
    <row r="22" spans="1:25" x14ac:dyDescent="0.25"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</row>
    <row r="27" spans="1:25" ht="17.399999999999999" x14ac:dyDescent="0.3">
      <c r="W27" s="5"/>
      <c r="X27" s="1"/>
      <c r="Y27" s="1"/>
    </row>
    <row r="28" spans="1:25" ht="17.399999999999999" x14ac:dyDescent="0.3">
      <c r="W28" s="5"/>
      <c r="X28" s="1"/>
      <c r="Y28" s="1"/>
    </row>
    <row r="29" spans="1:25" ht="17.399999999999999" x14ac:dyDescent="0.3">
      <c r="W29" s="5"/>
      <c r="X29" s="1"/>
      <c r="Y29" s="1"/>
    </row>
    <row r="30" spans="1:25" ht="17.399999999999999" x14ac:dyDescent="0.3">
      <c r="W30" s="5"/>
      <c r="X30" s="1"/>
      <c r="Y30" s="1"/>
    </row>
    <row r="31" spans="1:25" ht="17.399999999999999" x14ac:dyDescent="0.3">
      <c r="W31" s="5"/>
      <c r="X31" s="1"/>
      <c r="Y31" s="1"/>
    </row>
    <row r="32" spans="1:25" ht="17.399999999999999" x14ac:dyDescent="0.3">
      <c r="W32" s="5"/>
      <c r="X32" s="1"/>
      <c r="Y32" s="1"/>
    </row>
    <row r="33" spans="23:25" ht="17.399999999999999" x14ac:dyDescent="0.3">
      <c r="W33" s="5"/>
      <c r="X33" s="1"/>
      <c r="Y33" s="1"/>
    </row>
    <row r="34" spans="23:25" ht="17.399999999999999" x14ac:dyDescent="0.3">
      <c r="W34" s="5"/>
      <c r="X34" s="1"/>
      <c r="Y34" s="1"/>
    </row>
    <row r="35" spans="23:25" ht="17.399999999999999" x14ac:dyDescent="0.3">
      <c r="W35" s="5"/>
      <c r="X35" s="1"/>
      <c r="Y35" s="1"/>
    </row>
    <row r="36" spans="23:25" ht="17.399999999999999" x14ac:dyDescent="0.3">
      <c r="W36" s="5"/>
      <c r="X36" s="1"/>
      <c r="Y36" s="1"/>
    </row>
    <row r="37" spans="23:25" ht="17.399999999999999" x14ac:dyDescent="0.3">
      <c r="W37" s="6"/>
      <c r="X37" s="1"/>
      <c r="Y37" s="1"/>
    </row>
    <row r="38" spans="23:25" ht="18" x14ac:dyDescent="0.35">
      <c r="W38" s="7"/>
      <c r="X38" s="2"/>
      <c r="Y38" s="2"/>
    </row>
  </sheetData>
  <conditionalFormatting sqref="E1">
    <cfRule type="expression" dxfId="23" priority="1">
      <formula>ISBLANK(XFD1)=FALSE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38"/>
  <sheetViews>
    <sheetView workbookViewId="0"/>
  </sheetViews>
  <sheetFormatPr defaultColWidth="8.6640625" defaultRowHeight="13.2" x14ac:dyDescent="0.25"/>
  <cols>
    <col min="1" max="1" width="19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2" width="11.6640625" customWidth="1"/>
    <col min="13" max="13" width="11.109375" customWidth="1"/>
    <col min="14" max="14" width="10.6640625" customWidth="1"/>
    <col min="15" max="24" width="10.109375" bestFit="1" customWidth="1"/>
  </cols>
  <sheetData>
    <row r="1" spans="1:24" ht="13.8" thickBot="1" x14ac:dyDescent="0.3">
      <c r="A1" s="38" t="s">
        <v>90</v>
      </c>
      <c r="B1" s="24" t="s">
        <v>169</v>
      </c>
      <c r="C1" s="114" t="s">
        <v>178</v>
      </c>
      <c r="D1" s="69" t="s">
        <v>170</v>
      </c>
      <c r="E1" s="116">
        <v>46113</v>
      </c>
      <c r="F1" s="99">
        <v>45748</v>
      </c>
      <c r="G1" s="99">
        <v>45383</v>
      </c>
      <c r="H1" s="99">
        <v>45017</v>
      </c>
      <c r="I1" s="99">
        <v>44652</v>
      </c>
      <c r="J1" s="99">
        <v>44287</v>
      </c>
      <c r="K1" s="99">
        <v>43922</v>
      </c>
      <c r="L1" s="99">
        <v>43556</v>
      </c>
      <c r="M1" s="99">
        <v>43191</v>
      </c>
      <c r="N1" s="25">
        <v>42826</v>
      </c>
      <c r="O1" s="25">
        <v>42461</v>
      </c>
      <c r="P1" s="25">
        <v>42095</v>
      </c>
      <c r="Q1" s="25">
        <v>41730</v>
      </c>
      <c r="R1" s="25">
        <v>41365</v>
      </c>
      <c r="S1" s="25">
        <v>41000</v>
      </c>
      <c r="T1" s="25">
        <v>40634</v>
      </c>
      <c r="U1" s="25">
        <v>40269</v>
      </c>
      <c r="V1" s="25">
        <v>39904</v>
      </c>
      <c r="W1" s="25">
        <v>39539</v>
      </c>
      <c r="X1" s="26">
        <v>39173</v>
      </c>
    </row>
    <row r="2" spans="1:24" x14ac:dyDescent="0.25">
      <c r="A2" s="20" t="s">
        <v>4</v>
      </c>
      <c r="B2" s="27" t="str">
        <f t="shared" ref="B2:B10" si="0">IFERROR(((E2-F2)/F2),"")</f>
        <v/>
      </c>
      <c r="C2" s="106">
        <v>-354.59061000951544</v>
      </c>
      <c r="D2" s="1">
        <v>-2.5831689</v>
      </c>
      <c r="E2" s="91">
        <v>733.08263959558451</v>
      </c>
      <c r="F2" s="1">
        <v>0</v>
      </c>
      <c r="G2" s="1">
        <v>213.2568772714304</v>
      </c>
      <c r="H2" s="1">
        <v>1020.1302165265103</v>
      </c>
      <c r="I2" s="1">
        <v>689.34583265970275</v>
      </c>
      <c r="J2" s="1">
        <v>1315</v>
      </c>
      <c r="K2" s="1">
        <v>0</v>
      </c>
      <c r="L2" s="1">
        <v>1705</v>
      </c>
      <c r="M2" s="1">
        <v>0</v>
      </c>
      <c r="N2" s="1">
        <v>0</v>
      </c>
      <c r="O2" s="1">
        <v>1251</v>
      </c>
      <c r="P2" s="1">
        <v>975</v>
      </c>
      <c r="Q2" s="1">
        <v>399</v>
      </c>
      <c r="R2" s="1">
        <v>0</v>
      </c>
      <c r="S2" s="1">
        <v>0</v>
      </c>
      <c r="T2" s="1">
        <v>0</v>
      </c>
      <c r="U2" s="1">
        <v>0</v>
      </c>
      <c r="V2" s="1">
        <v>500</v>
      </c>
      <c r="W2" s="1">
        <v>4800</v>
      </c>
      <c r="X2" s="29">
        <v>1500</v>
      </c>
    </row>
    <row r="3" spans="1:24" x14ac:dyDescent="0.25">
      <c r="A3" s="20" t="s">
        <v>158</v>
      </c>
      <c r="B3" s="122" t="str">
        <f t="shared" si="0"/>
        <v/>
      </c>
      <c r="C3" s="123">
        <v>0</v>
      </c>
      <c r="D3" s="1">
        <v>0</v>
      </c>
      <c r="E3" s="91"/>
      <c r="F3" s="1"/>
      <c r="G3" s="1"/>
      <c r="H3" s="1">
        <v>0</v>
      </c>
      <c r="I3" s="1"/>
      <c r="J3" s="1"/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700</v>
      </c>
      <c r="X3" s="29">
        <v>50</v>
      </c>
    </row>
    <row r="4" spans="1:24" x14ac:dyDescent="0.25">
      <c r="A4" s="20" t="s">
        <v>2</v>
      </c>
      <c r="B4" s="122" t="str">
        <f t="shared" si="0"/>
        <v/>
      </c>
      <c r="C4" s="123">
        <v>-441.14909449304156</v>
      </c>
      <c r="D4" s="1">
        <v>-105.73289855450416</v>
      </c>
      <c r="E4" s="91">
        <v>73.8780316443967</v>
      </c>
      <c r="F4" s="1">
        <v>0</v>
      </c>
      <c r="G4" s="1">
        <v>0</v>
      </c>
      <c r="H4" s="1">
        <v>68.445402483449527</v>
      </c>
      <c r="I4" s="1">
        <v>229.93453287050812</v>
      </c>
      <c r="J4" s="1">
        <v>0</v>
      </c>
      <c r="K4" s="1">
        <v>57</v>
      </c>
      <c r="L4" s="1">
        <v>937</v>
      </c>
      <c r="M4" s="1">
        <v>4</v>
      </c>
      <c r="N4" s="1">
        <v>2</v>
      </c>
      <c r="O4" s="1">
        <v>422</v>
      </c>
      <c r="P4" s="1">
        <v>1147</v>
      </c>
      <c r="Q4" s="1">
        <v>238</v>
      </c>
      <c r="R4" s="1">
        <v>0</v>
      </c>
      <c r="S4" s="1">
        <v>50</v>
      </c>
      <c r="T4" s="1">
        <v>0</v>
      </c>
      <c r="U4" s="1">
        <v>0</v>
      </c>
      <c r="V4" s="1">
        <v>0</v>
      </c>
      <c r="W4" s="1">
        <v>1500</v>
      </c>
      <c r="X4" s="29">
        <v>0</v>
      </c>
    </row>
    <row r="5" spans="1:24" x14ac:dyDescent="0.25">
      <c r="A5" s="20" t="s">
        <v>100</v>
      </c>
      <c r="B5" s="122" t="str">
        <f t="shared" si="0"/>
        <v/>
      </c>
      <c r="C5" s="123">
        <v>0</v>
      </c>
      <c r="D5" s="1">
        <v>0</v>
      </c>
      <c r="E5" s="91"/>
      <c r="F5" s="1"/>
      <c r="G5" s="1"/>
      <c r="H5" s="1">
        <v>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29">
        <v>400</v>
      </c>
    </row>
    <row r="6" spans="1:24" x14ac:dyDescent="0.25">
      <c r="A6" s="20" t="s">
        <v>3</v>
      </c>
      <c r="B6" s="122">
        <f t="shared" si="0"/>
        <v>-0.34555163374003939</v>
      </c>
      <c r="C6" s="123">
        <v>-1458.3573597922218</v>
      </c>
      <c r="D6" s="1">
        <v>-1203.4720942782578</v>
      </c>
      <c r="E6" s="91">
        <v>3177.816951060428</v>
      </c>
      <c r="F6" s="1">
        <v>4855.718365103432</v>
      </c>
      <c r="G6" s="1">
        <v>7010.1807396966351</v>
      </c>
      <c r="H6" s="1">
        <v>1200.3662555520141</v>
      </c>
      <c r="I6" s="1">
        <v>1440.4812251143305</v>
      </c>
      <c r="J6" s="1">
        <v>3429</v>
      </c>
      <c r="K6" s="1">
        <v>12461</v>
      </c>
      <c r="L6" s="1">
        <v>6474</v>
      </c>
      <c r="M6" s="1">
        <v>4463</v>
      </c>
      <c r="N6" s="1">
        <v>8496</v>
      </c>
      <c r="O6" s="1">
        <v>12271</v>
      </c>
      <c r="P6" s="1">
        <v>10650</v>
      </c>
      <c r="Q6" s="1">
        <v>9862</v>
      </c>
      <c r="R6" s="1">
        <v>7133</v>
      </c>
      <c r="S6" s="1">
        <v>7700</v>
      </c>
      <c r="T6" s="1">
        <v>3557.8108285198987</v>
      </c>
      <c r="U6" s="1">
        <v>13464</v>
      </c>
      <c r="V6" s="1">
        <v>7900</v>
      </c>
      <c r="W6" s="1">
        <v>11800</v>
      </c>
      <c r="X6" s="29">
        <v>11500</v>
      </c>
    </row>
    <row r="7" spans="1:24" x14ac:dyDescent="0.25">
      <c r="A7" s="21" t="s">
        <v>26</v>
      </c>
      <c r="B7" s="27">
        <f t="shared" si="0"/>
        <v>0.61645569383882948</v>
      </c>
      <c r="C7" s="106">
        <v>-3889.1907845455353</v>
      </c>
      <c r="D7" s="1">
        <v>-5826.4997025474422</v>
      </c>
      <c r="E7" s="91">
        <v>23436.965421982564</v>
      </c>
      <c r="F7" s="1">
        <v>14498.984111543099</v>
      </c>
      <c r="G7" s="1">
        <v>25302.218347850521</v>
      </c>
      <c r="H7" s="1">
        <v>20954.751683868108</v>
      </c>
      <c r="I7" s="1">
        <v>54030.09522824399</v>
      </c>
      <c r="J7" s="1">
        <v>22517</v>
      </c>
      <c r="K7" s="1">
        <v>34071</v>
      </c>
      <c r="L7" s="1">
        <v>29222</v>
      </c>
      <c r="M7" s="1">
        <v>1389</v>
      </c>
      <c r="N7" s="70">
        <v>21885</v>
      </c>
      <c r="O7" s="70">
        <v>44000</v>
      </c>
      <c r="P7" s="70">
        <v>55663</v>
      </c>
      <c r="Q7" s="70">
        <v>28091</v>
      </c>
      <c r="R7" s="70">
        <v>20800</v>
      </c>
      <c r="S7" s="70">
        <v>27760</v>
      </c>
      <c r="T7" s="70">
        <v>36832.986024043304</v>
      </c>
      <c r="U7" s="70">
        <v>54892</v>
      </c>
      <c r="V7" s="70">
        <v>89400</v>
      </c>
      <c r="W7" s="1">
        <v>65600</v>
      </c>
      <c r="X7" s="29">
        <v>72600</v>
      </c>
    </row>
    <row r="8" spans="1:24" x14ac:dyDescent="0.25">
      <c r="A8" s="20" t="s">
        <v>25</v>
      </c>
      <c r="B8" s="27">
        <f t="shared" si="0"/>
        <v>0.67314074740302376</v>
      </c>
      <c r="C8" s="106">
        <v>-1895.4622695518374</v>
      </c>
      <c r="D8" s="1">
        <v>-895.50031929785837</v>
      </c>
      <c r="E8" s="91">
        <v>8887.1458580823619</v>
      </c>
      <c r="F8" s="1">
        <v>5311.6546661580041</v>
      </c>
      <c r="G8" s="1">
        <v>6502.1245775660782</v>
      </c>
      <c r="H8" s="1">
        <v>7835.4496258231002</v>
      </c>
      <c r="I8" s="1">
        <v>17444.623634872991</v>
      </c>
      <c r="J8" s="1">
        <v>7785</v>
      </c>
      <c r="K8" s="1">
        <v>24764</v>
      </c>
      <c r="L8" s="1">
        <v>24720</v>
      </c>
      <c r="M8" s="1">
        <v>430</v>
      </c>
      <c r="N8" s="70">
        <v>14892</v>
      </c>
      <c r="O8" s="70">
        <v>18325</v>
      </c>
      <c r="P8" s="70">
        <v>30347</v>
      </c>
      <c r="Q8" s="70">
        <v>10717</v>
      </c>
      <c r="R8" s="70">
        <v>13880</v>
      </c>
      <c r="S8" s="70">
        <v>16100</v>
      </c>
      <c r="T8" s="70">
        <v>9727.7260317689525</v>
      </c>
      <c r="U8" s="70">
        <v>18320</v>
      </c>
      <c r="V8" s="70">
        <v>22100</v>
      </c>
      <c r="W8" s="1">
        <v>26500</v>
      </c>
      <c r="X8" s="29">
        <v>24650</v>
      </c>
    </row>
    <row r="9" spans="1:24" ht="13.8" thickBot="1" x14ac:dyDescent="0.3">
      <c r="A9" s="22" t="s">
        <v>58</v>
      </c>
      <c r="B9" s="28">
        <f t="shared" si="0"/>
        <v>0.60923676832761564</v>
      </c>
      <c r="C9" s="105">
        <v>-6234.3793654365363</v>
      </c>
      <c r="D9" s="10">
        <v>-1534.1542702556417</v>
      </c>
      <c r="E9" s="94">
        <v>10766.249114976465</v>
      </c>
      <c r="F9" s="1">
        <v>6690.2828265384396</v>
      </c>
      <c r="G9" s="1">
        <v>7138</v>
      </c>
      <c r="H9" s="1">
        <v>11728</v>
      </c>
      <c r="I9" s="1">
        <v>11442</v>
      </c>
      <c r="J9" s="1">
        <v>16195</v>
      </c>
      <c r="K9" s="1">
        <v>4855</v>
      </c>
      <c r="L9" s="1">
        <v>10210</v>
      </c>
      <c r="M9" s="1">
        <v>1971</v>
      </c>
      <c r="N9" s="70">
        <v>338</v>
      </c>
      <c r="O9" s="70">
        <v>12109</v>
      </c>
      <c r="P9" s="70">
        <v>4056</v>
      </c>
      <c r="Q9" s="70">
        <v>5724</v>
      </c>
      <c r="R9" s="70">
        <v>4143</v>
      </c>
      <c r="S9" s="70">
        <v>4800</v>
      </c>
      <c r="T9" s="70">
        <v>9188.7322610108295</v>
      </c>
      <c r="U9" s="70">
        <v>6055</v>
      </c>
      <c r="V9" s="70">
        <v>16800</v>
      </c>
      <c r="W9" s="1">
        <v>17200</v>
      </c>
      <c r="X9" s="29">
        <v>1900</v>
      </c>
    </row>
    <row r="10" spans="1:24" ht="13.8" thickBot="1" x14ac:dyDescent="0.3">
      <c r="A10" s="32" t="s">
        <v>22</v>
      </c>
      <c r="B10" s="33">
        <f t="shared" si="0"/>
        <v>0.50128132552998717</v>
      </c>
      <c r="C10" s="118">
        <v>-14273.129483828685</v>
      </c>
      <c r="D10" s="34">
        <v>-9567.9424538336971</v>
      </c>
      <c r="E10" s="113">
        <f t="shared" ref="E10" si="1">SUM(E2:E9)</f>
        <v>47075.1380173418</v>
      </c>
      <c r="F10" s="43">
        <f t="shared" ref="F10:L10" si="2">SUM(F2:F9)</f>
        <v>31356.639969342978</v>
      </c>
      <c r="G10" s="43">
        <f t="shared" si="2"/>
        <v>46165.780542384666</v>
      </c>
      <c r="H10" s="43">
        <f t="shared" si="2"/>
        <v>42807.143184253182</v>
      </c>
      <c r="I10" s="43">
        <f t="shared" si="2"/>
        <v>85276.480453761527</v>
      </c>
      <c r="J10" s="43">
        <f t="shared" si="2"/>
        <v>51241</v>
      </c>
      <c r="K10" s="43">
        <f t="shared" si="2"/>
        <v>76208</v>
      </c>
      <c r="L10" s="43">
        <f t="shared" si="2"/>
        <v>73268</v>
      </c>
      <c r="M10" s="43">
        <f t="shared" ref="M10:R10" si="3">SUM(M2:M9)</f>
        <v>8257</v>
      </c>
      <c r="N10" s="43">
        <f t="shared" si="3"/>
        <v>45613</v>
      </c>
      <c r="O10" s="43">
        <f t="shared" si="3"/>
        <v>88378</v>
      </c>
      <c r="P10" s="43">
        <f t="shared" si="3"/>
        <v>102838</v>
      </c>
      <c r="Q10" s="43">
        <f t="shared" si="3"/>
        <v>55031</v>
      </c>
      <c r="R10" s="43">
        <f t="shared" si="3"/>
        <v>45956</v>
      </c>
      <c r="S10" s="43">
        <f t="shared" ref="S10:X10" si="4">SUM(S2:S9)</f>
        <v>56410</v>
      </c>
      <c r="T10" s="43">
        <f t="shared" si="4"/>
        <v>59307.255145342984</v>
      </c>
      <c r="U10" s="43">
        <f t="shared" si="4"/>
        <v>92731</v>
      </c>
      <c r="V10" s="43">
        <f t="shared" si="4"/>
        <v>136700</v>
      </c>
      <c r="W10" s="43">
        <f t="shared" si="4"/>
        <v>128100</v>
      </c>
      <c r="X10" s="79">
        <f t="shared" si="4"/>
        <v>112600</v>
      </c>
    </row>
    <row r="11" spans="1:24" x14ac:dyDescent="0.25">
      <c r="A11" t="s">
        <v>101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</row>
    <row r="12" spans="1:24" x14ac:dyDescent="0.25">
      <c r="A12" s="46" t="s">
        <v>157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</row>
    <row r="13" spans="1:24" ht="13.8" thickBot="1" x14ac:dyDescent="0.3"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</row>
    <row r="14" spans="1:24" ht="13.8" thickBot="1" x14ac:dyDescent="0.3">
      <c r="A14" s="23" t="s">
        <v>24</v>
      </c>
      <c r="B14" s="24" t="s">
        <v>169</v>
      </c>
      <c r="C14" s="114" t="s">
        <v>178</v>
      </c>
      <c r="D14" s="69" t="s">
        <v>170</v>
      </c>
      <c r="E14" s="116">
        <v>46113</v>
      </c>
      <c r="F14" s="99">
        <v>45748</v>
      </c>
      <c r="G14" s="99">
        <v>45383</v>
      </c>
      <c r="H14" s="99">
        <v>45017</v>
      </c>
      <c r="I14" s="99">
        <v>44652</v>
      </c>
      <c r="J14" s="99">
        <v>44287</v>
      </c>
      <c r="K14" s="99">
        <v>43922</v>
      </c>
      <c r="L14" s="99">
        <v>43556</v>
      </c>
      <c r="M14" s="99">
        <v>43191</v>
      </c>
      <c r="N14" s="25">
        <v>42826</v>
      </c>
      <c r="O14" s="25">
        <v>42461</v>
      </c>
      <c r="P14" s="25">
        <v>42095</v>
      </c>
      <c r="Q14" s="25">
        <v>41730</v>
      </c>
      <c r="R14" s="25">
        <v>41365</v>
      </c>
      <c r="S14" s="25">
        <v>41000</v>
      </c>
      <c r="T14" s="25">
        <v>40634</v>
      </c>
      <c r="U14" s="25">
        <v>40269</v>
      </c>
      <c r="V14" s="25">
        <v>39904</v>
      </c>
      <c r="W14" s="25">
        <v>39539</v>
      </c>
      <c r="X14" s="26">
        <v>39173</v>
      </c>
    </row>
    <row r="15" spans="1:24" x14ac:dyDescent="0.25">
      <c r="A15" s="20" t="s">
        <v>7</v>
      </c>
      <c r="B15" s="27">
        <f t="shared" ref="B15:B20" si="5">IFERROR(((E15-F15)/F15),"")</f>
        <v>0.70901593805440954</v>
      </c>
      <c r="C15" s="106">
        <v>-37916.358243807597</v>
      </c>
      <c r="D15" s="1">
        <v>-30610.798792509504</v>
      </c>
      <c r="E15" s="91">
        <v>52160.083880701408</v>
      </c>
      <c r="F15" s="1">
        <v>30520.536830149093</v>
      </c>
      <c r="G15" s="1">
        <v>36578.380618946801</v>
      </c>
      <c r="H15" s="1">
        <v>29223.7004332986</v>
      </c>
      <c r="I15" s="1">
        <v>78220.542108121823</v>
      </c>
      <c r="J15" s="1">
        <v>90907</v>
      </c>
      <c r="K15" s="1">
        <v>57992</v>
      </c>
      <c r="L15" s="37">
        <v>70000</v>
      </c>
      <c r="M15" s="1">
        <v>40230</v>
      </c>
      <c r="N15" s="1">
        <v>57000</v>
      </c>
      <c r="O15" s="1">
        <v>86049</v>
      </c>
      <c r="P15" s="1">
        <v>65231</v>
      </c>
      <c r="Q15" s="1">
        <v>37805</v>
      </c>
      <c r="R15" s="1">
        <v>29495</v>
      </c>
      <c r="S15" s="1">
        <v>34000</v>
      </c>
      <c r="T15" s="1">
        <v>50300</v>
      </c>
      <c r="U15" s="1">
        <v>44300</v>
      </c>
      <c r="V15" s="1">
        <v>8500</v>
      </c>
      <c r="W15" s="1">
        <v>62800</v>
      </c>
      <c r="X15" s="29">
        <v>66900</v>
      </c>
    </row>
    <row r="16" spans="1:24" x14ac:dyDescent="0.25">
      <c r="A16" s="20" t="s">
        <v>99</v>
      </c>
      <c r="B16" s="27" t="str">
        <f t="shared" si="5"/>
        <v/>
      </c>
      <c r="C16" s="106">
        <v>-50.472574456326612</v>
      </c>
      <c r="D16" s="1">
        <v>0</v>
      </c>
      <c r="E16" s="91">
        <v>129</v>
      </c>
      <c r="F16" s="1">
        <v>0</v>
      </c>
      <c r="G16" s="1"/>
      <c r="H16" s="1">
        <v>0</v>
      </c>
      <c r="I16" s="1">
        <v>0</v>
      </c>
      <c r="J16" s="1">
        <v>75</v>
      </c>
      <c r="K16" s="1">
        <v>0</v>
      </c>
      <c r="L16" s="1">
        <v>247</v>
      </c>
      <c r="M16" s="1">
        <v>0</v>
      </c>
      <c r="N16" s="1">
        <v>25</v>
      </c>
      <c r="O16" s="1">
        <v>282</v>
      </c>
      <c r="P16" s="1">
        <v>641</v>
      </c>
      <c r="Q16" s="1">
        <v>330</v>
      </c>
      <c r="R16" s="1">
        <v>0</v>
      </c>
      <c r="S16" s="1">
        <v>110</v>
      </c>
      <c r="T16" s="1">
        <v>0</v>
      </c>
      <c r="U16" s="1">
        <v>0</v>
      </c>
      <c r="V16" s="1">
        <v>0</v>
      </c>
      <c r="W16" s="1">
        <v>0</v>
      </c>
      <c r="X16" s="29">
        <v>600</v>
      </c>
    </row>
    <row r="17" spans="1:25" x14ac:dyDescent="0.25">
      <c r="A17" s="39" t="s">
        <v>159</v>
      </c>
      <c r="B17" s="27" t="str">
        <f t="shared" si="5"/>
        <v/>
      </c>
      <c r="C17" s="106">
        <v>0</v>
      </c>
      <c r="D17" s="1">
        <v>0</v>
      </c>
      <c r="E17" s="91"/>
      <c r="F17" s="1">
        <v>0</v>
      </c>
      <c r="G17" s="1"/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/>
      <c r="Q17" s="1"/>
      <c r="R17" s="1"/>
      <c r="S17" s="1"/>
      <c r="T17" s="1"/>
      <c r="U17" s="1"/>
      <c r="V17" s="1"/>
      <c r="W17" s="1"/>
      <c r="X17" s="29"/>
    </row>
    <row r="18" spans="1:25" x14ac:dyDescent="0.25">
      <c r="A18" s="39" t="s">
        <v>173</v>
      </c>
      <c r="B18" s="137">
        <f t="shared" si="5"/>
        <v>-0.31036482060510862</v>
      </c>
      <c r="C18" s="138">
        <v>-30</v>
      </c>
      <c r="D18" s="50">
        <v>-4.3670263664587594</v>
      </c>
      <c r="E18" s="115">
        <v>102</v>
      </c>
      <c r="F18" s="1">
        <v>147.90428772716925</v>
      </c>
      <c r="G18" s="1"/>
      <c r="H18" s="1">
        <v>0</v>
      </c>
      <c r="I18" s="1">
        <v>543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29"/>
    </row>
    <row r="19" spans="1:25" ht="13.8" thickBot="1" x14ac:dyDescent="0.3">
      <c r="A19" s="30" t="s">
        <v>6</v>
      </c>
      <c r="B19" s="28">
        <f t="shared" si="5"/>
        <v>6.1867740364540262</v>
      </c>
      <c r="C19" s="105">
        <v>-101</v>
      </c>
      <c r="D19" s="10">
        <v>-126.51347185162487</v>
      </c>
      <c r="E19" s="94">
        <v>77</v>
      </c>
      <c r="F19" s="1">
        <v>10.714125643776606</v>
      </c>
      <c r="G19" s="1">
        <v>45</v>
      </c>
      <c r="H19" s="1">
        <v>1591</v>
      </c>
      <c r="I19" s="1">
        <v>0</v>
      </c>
      <c r="J19" s="1">
        <v>446</v>
      </c>
      <c r="K19" s="1">
        <v>208</v>
      </c>
      <c r="L19" s="1">
        <v>850</v>
      </c>
      <c r="M19" s="1">
        <v>64</v>
      </c>
      <c r="N19" s="1">
        <v>0</v>
      </c>
      <c r="O19" s="1">
        <v>0</v>
      </c>
      <c r="P19" s="1">
        <v>840</v>
      </c>
      <c r="Q19" s="1">
        <v>0</v>
      </c>
      <c r="R19" s="1">
        <v>0</v>
      </c>
      <c r="S19" s="1">
        <v>120</v>
      </c>
      <c r="T19" s="1">
        <v>0</v>
      </c>
      <c r="U19" s="1">
        <v>0</v>
      </c>
      <c r="V19" s="1">
        <v>0</v>
      </c>
      <c r="W19" s="1">
        <v>0</v>
      </c>
      <c r="X19" s="29">
        <v>500</v>
      </c>
    </row>
    <row r="20" spans="1:25" ht="13.8" thickBot="1" x14ac:dyDescent="0.3">
      <c r="A20" s="32" t="s">
        <v>22</v>
      </c>
      <c r="B20" s="33">
        <f t="shared" si="5"/>
        <v>0.7102193155003369</v>
      </c>
      <c r="C20" s="118">
        <v>-38097.83081826393</v>
      </c>
      <c r="D20" s="34">
        <v>-30741.679290727589</v>
      </c>
      <c r="E20" s="113">
        <f t="shared" ref="E20" si="6">SUM(E15:E19)</f>
        <v>52468.083880701408</v>
      </c>
      <c r="F20" s="43">
        <f t="shared" ref="F20:M20" si="7">SUM(F15:F19)</f>
        <v>30679.155243520036</v>
      </c>
      <c r="G20" s="43">
        <f t="shared" si="7"/>
        <v>36623.380618946801</v>
      </c>
      <c r="H20" s="43">
        <f t="shared" si="7"/>
        <v>30814.7004332986</v>
      </c>
      <c r="I20" s="43">
        <f t="shared" si="7"/>
        <v>78763.542108121823</v>
      </c>
      <c r="J20" s="43">
        <f t="shared" si="7"/>
        <v>91428</v>
      </c>
      <c r="K20" s="43">
        <f t="shared" si="7"/>
        <v>58200</v>
      </c>
      <c r="L20" s="43">
        <f t="shared" si="7"/>
        <v>71097</v>
      </c>
      <c r="M20" s="43">
        <f t="shared" si="7"/>
        <v>40294</v>
      </c>
      <c r="N20" s="43">
        <f t="shared" ref="N20:S20" si="8">SUM(N15:N19)</f>
        <v>57025</v>
      </c>
      <c r="O20" s="43">
        <f t="shared" si="8"/>
        <v>86331</v>
      </c>
      <c r="P20" s="43">
        <f t="shared" si="8"/>
        <v>66712</v>
      </c>
      <c r="Q20" s="43">
        <f t="shared" si="8"/>
        <v>38135</v>
      </c>
      <c r="R20" s="43">
        <f t="shared" si="8"/>
        <v>29495</v>
      </c>
      <c r="S20" s="43">
        <f t="shared" si="8"/>
        <v>34230</v>
      </c>
      <c r="T20" s="43">
        <v>50300</v>
      </c>
      <c r="U20" s="43">
        <f>SUM(U15:U19)</f>
        <v>44300</v>
      </c>
      <c r="V20" s="43">
        <f>SUM(V15:V19)</f>
        <v>8500</v>
      </c>
      <c r="W20" s="43">
        <f>SUM(W15:W19)</f>
        <v>62800</v>
      </c>
      <c r="X20" s="79">
        <f>SUM(X15:X19)</f>
        <v>68000</v>
      </c>
    </row>
    <row r="27" spans="1:25" ht="17.399999999999999" x14ac:dyDescent="0.3">
      <c r="W27" s="5"/>
      <c r="X27" s="1"/>
      <c r="Y27" s="1"/>
    </row>
    <row r="28" spans="1:25" ht="17.399999999999999" x14ac:dyDescent="0.3">
      <c r="W28" s="5"/>
      <c r="X28" s="1"/>
      <c r="Y28" s="1"/>
    </row>
    <row r="29" spans="1:25" ht="17.399999999999999" x14ac:dyDescent="0.3">
      <c r="W29" s="5"/>
      <c r="X29" s="1"/>
      <c r="Y29" s="1"/>
    </row>
    <row r="30" spans="1:25" ht="17.399999999999999" x14ac:dyDescent="0.3">
      <c r="W30" s="5"/>
      <c r="X30" s="1"/>
      <c r="Y30" s="1"/>
    </row>
    <row r="31" spans="1:25" ht="17.399999999999999" x14ac:dyDescent="0.3">
      <c r="W31" s="5"/>
      <c r="X31" s="1"/>
      <c r="Y31" s="1"/>
    </row>
    <row r="32" spans="1:25" ht="17.399999999999999" x14ac:dyDescent="0.3">
      <c r="W32" s="5"/>
      <c r="X32" s="1"/>
      <c r="Y32" s="1"/>
    </row>
    <row r="33" spans="23:25" ht="17.399999999999999" x14ac:dyDescent="0.3">
      <c r="W33" s="5"/>
      <c r="X33" s="1"/>
      <c r="Y33" s="1"/>
    </row>
    <row r="34" spans="23:25" ht="17.399999999999999" x14ac:dyDescent="0.3">
      <c r="W34" s="5"/>
      <c r="X34" s="1"/>
      <c r="Y34" s="1"/>
    </row>
    <row r="35" spans="23:25" ht="17.399999999999999" x14ac:dyDescent="0.3">
      <c r="W35" s="5"/>
      <c r="X35" s="1"/>
      <c r="Y35" s="1"/>
    </row>
    <row r="36" spans="23:25" ht="17.399999999999999" x14ac:dyDescent="0.3">
      <c r="W36" s="5"/>
      <c r="X36" s="1"/>
      <c r="Y36" s="1"/>
    </row>
    <row r="37" spans="23:25" ht="17.399999999999999" x14ac:dyDescent="0.3">
      <c r="W37" s="6"/>
      <c r="X37" s="1"/>
      <c r="Y37" s="1"/>
    </row>
    <row r="38" spans="23:25" ht="18" x14ac:dyDescent="0.35">
      <c r="W38" s="7"/>
      <c r="X38" s="2"/>
      <c r="Y38" s="2"/>
    </row>
  </sheetData>
  <conditionalFormatting sqref="E1">
    <cfRule type="expression" dxfId="22" priority="2">
      <formula>ISBLANK(XFD1)=FALSE</formula>
    </cfRule>
  </conditionalFormatting>
  <conditionalFormatting sqref="E14">
    <cfRule type="expression" dxfId="21" priority="1">
      <formula>ISBLANK(XFD14)=FALSE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21"/>
  <sheetViews>
    <sheetView workbookViewId="0"/>
  </sheetViews>
  <sheetFormatPr defaultColWidth="8.6640625" defaultRowHeight="13.2" x14ac:dyDescent="0.25"/>
  <cols>
    <col min="1" max="1" width="19.109375" customWidth="1"/>
    <col min="2" max="2" width="10.6640625" customWidth="1"/>
    <col min="3" max="3" width="11.6640625" bestFit="1" customWidth="1"/>
    <col min="4" max="4" width="11.33203125" style="73" bestFit="1" customWidth="1"/>
    <col min="5" max="5" width="11.33203125" style="73" customWidth="1"/>
    <col min="6" max="12" width="11.6640625" customWidth="1"/>
    <col min="13" max="13" width="11.6640625" style="73" customWidth="1"/>
    <col min="14" max="14" width="10.6640625" style="73" customWidth="1"/>
    <col min="15" max="24" width="10.109375" bestFit="1" customWidth="1"/>
  </cols>
  <sheetData>
    <row r="1" spans="1:24" ht="13.8" thickBot="1" x14ac:dyDescent="0.3">
      <c r="A1" s="38" t="s">
        <v>90</v>
      </c>
      <c r="B1" s="24" t="s">
        <v>169</v>
      </c>
      <c r="C1" s="114" t="s">
        <v>178</v>
      </c>
      <c r="D1" s="69" t="s">
        <v>170</v>
      </c>
      <c r="E1" s="116">
        <v>46113</v>
      </c>
      <c r="F1" s="99">
        <v>45748</v>
      </c>
      <c r="G1" s="99">
        <v>45383</v>
      </c>
      <c r="H1" s="99">
        <v>45017</v>
      </c>
      <c r="I1" s="99">
        <v>44652</v>
      </c>
      <c r="J1" s="99">
        <v>44287</v>
      </c>
      <c r="K1" s="99">
        <v>43922</v>
      </c>
      <c r="L1" s="99">
        <v>43556</v>
      </c>
      <c r="M1" s="99">
        <v>43191</v>
      </c>
      <c r="N1" s="25">
        <v>42826</v>
      </c>
      <c r="O1" s="25">
        <v>42461</v>
      </c>
      <c r="P1" s="25">
        <v>42095</v>
      </c>
      <c r="Q1" s="25">
        <v>41730</v>
      </c>
      <c r="R1" s="25">
        <v>41365</v>
      </c>
      <c r="S1" s="25">
        <v>41000</v>
      </c>
      <c r="T1" s="25">
        <v>40634</v>
      </c>
      <c r="U1" s="25">
        <v>40269</v>
      </c>
      <c r="V1" s="25">
        <v>39904</v>
      </c>
      <c r="W1" s="25">
        <v>39539</v>
      </c>
      <c r="X1" s="26">
        <v>39173</v>
      </c>
    </row>
    <row r="2" spans="1:24" x14ac:dyDescent="0.25">
      <c r="A2" s="39" t="s">
        <v>11</v>
      </c>
      <c r="B2" s="27">
        <f t="shared" ref="B2:B12" si="0">IFERROR(((E2-F2)/F2),"")</f>
        <v>9.1363636363636367</v>
      </c>
      <c r="C2" s="106">
        <v>-1120</v>
      </c>
      <c r="D2" s="37">
        <v>-354</v>
      </c>
      <c r="E2" s="112">
        <v>2007</v>
      </c>
      <c r="F2" s="1">
        <v>198</v>
      </c>
      <c r="G2" s="1">
        <v>1831</v>
      </c>
      <c r="H2" s="1">
        <v>3896</v>
      </c>
      <c r="I2" s="1">
        <v>3147</v>
      </c>
      <c r="J2" s="1">
        <v>2087</v>
      </c>
      <c r="K2" s="1">
        <v>1359</v>
      </c>
      <c r="L2" s="1">
        <v>2117</v>
      </c>
      <c r="M2" s="76">
        <v>307</v>
      </c>
      <c r="N2" s="1">
        <v>654</v>
      </c>
      <c r="O2" s="1"/>
      <c r="P2" s="1"/>
      <c r="Q2" s="1"/>
      <c r="R2" s="1"/>
      <c r="S2" s="1"/>
      <c r="T2" s="1"/>
      <c r="U2" s="1"/>
      <c r="V2" s="1"/>
      <c r="W2" s="1"/>
      <c r="X2" s="29"/>
    </row>
    <row r="3" spans="1:24" x14ac:dyDescent="0.25">
      <c r="A3" s="20" t="s">
        <v>9</v>
      </c>
      <c r="B3" s="27">
        <f t="shared" si="0"/>
        <v>2.7593880389429764</v>
      </c>
      <c r="C3" s="106">
        <v>-576</v>
      </c>
      <c r="D3" s="76">
        <v>-457</v>
      </c>
      <c r="E3" s="124">
        <v>2703</v>
      </c>
      <c r="F3" s="1">
        <v>719</v>
      </c>
      <c r="G3" s="1">
        <v>1949</v>
      </c>
      <c r="H3" s="1">
        <v>2054</v>
      </c>
      <c r="I3" s="1">
        <v>2002</v>
      </c>
      <c r="J3" s="1">
        <v>1196</v>
      </c>
      <c r="K3" s="1">
        <v>710</v>
      </c>
      <c r="L3" s="1">
        <v>1131</v>
      </c>
      <c r="M3" s="76">
        <v>1127</v>
      </c>
      <c r="N3" s="1">
        <v>597</v>
      </c>
      <c r="O3" s="1">
        <v>1908</v>
      </c>
      <c r="P3" s="1">
        <v>483</v>
      </c>
      <c r="Q3" s="1">
        <v>431</v>
      </c>
      <c r="R3" s="1">
        <v>35</v>
      </c>
      <c r="S3" s="1">
        <v>47</v>
      </c>
      <c r="T3" s="1">
        <v>20</v>
      </c>
      <c r="U3" s="1">
        <v>7</v>
      </c>
      <c r="V3" s="1">
        <v>16</v>
      </c>
      <c r="W3" s="1">
        <v>49</v>
      </c>
      <c r="X3" s="29">
        <v>41</v>
      </c>
    </row>
    <row r="4" spans="1:24" x14ac:dyDescent="0.25">
      <c r="A4" s="20" t="s">
        <v>14</v>
      </c>
      <c r="B4" s="27">
        <f t="shared" si="0"/>
        <v>85</v>
      </c>
      <c r="C4" s="106">
        <v>-17</v>
      </c>
      <c r="D4" s="76">
        <v>-17</v>
      </c>
      <c r="E4" s="124">
        <v>86</v>
      </c>
      <c r="F4" s="1">
        <v>1</v>
      </c>
      <c r="G4" s="1">
        <v>1</v>
      </c>
      <c r="H4" s="1">
        <v>81</v>
      </c>
      <c r="I4" s="1">
        <v>94</v>
      </c>
      <c r="J4" s="1">
        <v>95</v>
      </c>
      <c r="K4" s="1">
        <v>106</v>
      </c>
      <c r="L4" s="1">
        <v>767</v>
      </c>
      <c r="M4" s="76">
        <v>296</v>
      </c>
      <c r="N4" s="1">
        <v>93</v>
      </c>
      <c r="O4" s="1">
        <v>399</v>
      </c>
      <c r="P4" s="1">
        <v>343</v>
      </c>
      <c r="Q4" s="1">
        <v>44</v>
      </c>
      <c r="R4" s="1">
        <v>312</v>
      </c>
      <c r="S4" s="1">
        <v>166</v>
      </c>
      <c r="T4" s="1">
        <v>119</v>
      </c>
      <c r="U4" s="1">
        <v>371</v>
      </c>
      <c r="V4" s="1">
        <v>659</v>
      </c>
      <c r="W4" s="1">
        <v>311</v>
      </c>
      <c r="X4" s="29">
        <v>495</v>
      </c>
    </row>
    <row r="5" spans="1:24" x14ac:dyDescent="0.25">
      <c r="A5" s="20" t="s">
        <v>3</v>
      </c>
      <c r="B5" s="27">
        <f t="shared" si="0"/>
        <v>0.34589196550158874</v>
      </c>
      <c r="C5" s="106">
        <v>-1574</v>
      </c>
      <c r="D5" s="76">
        <v>-812</v>
      </c>
      <c r="E5" s="124">
        <v>2965</v>
      </c>
      <c r="F5" s="1">
        <v>2203</v>
      </c>
      <c r="G5" s="1">
        <v>5960</v>
      </c>
      <c r="H5" s="1">
        <v>5585</v>
      </c>
      <c r="I5" s="1">
        <v>4774</v>
      </c>
      <c r="J5" s="1">
        <v>7836</v>
      </c>
      <c r="K5" s="1">
        <v>6626</v>
      </c>
      <c r="L5" s="1">
        <v>8515</v>
      </c>
      <c r="M5" s="76">
        <v>6095</v>
      </c>
      <c r="N5" s="1">
        <v>4897</v>
      </c>
      <c r="O5" s="1">
        <v>6623</v>
      </c>
      <c r="P5" s="1">
        <v>5750</v>
      </c>
      <c r="Q5" s="1">
        <v>5170</v>
      </c>
      <c r="R5" s="1">
        <v>2620</v>
      </c>
      <c r="S5" s="1">
        <v>3130</v>
      </c>
      <c r="T5" s="1">
        <v>2053</v>
      </c>
      <c r="U5" s="1">
        <v>3833</v>
      </c>
      <c r="V5" s="1">
        <v>3601</v>
      </c>
      <c r="W5" s="1">
        <v>587</v>
      </c>
      <c r="X5" s="29">
        <v>1619</v>
      </c>
    </row>
    <row r="6" spans="1:24" x14ac:dyDescent="0.25">
      <c r="A6" s="20" t="s">
        <v>10</v>
      </c>
      <c r="B6" s="27">
        <f t="shared" si="0"/>
        <v>2.2920792079207919</v>
      </c>
      <c r="C6" s="106">
        <v>-104</v>
      </c>
      <c r="D6" s="76">
        <v>-179</v>
      </c>
      <c r="E6" s="124">
        <v>1330</v>
      </c>
      <c r="F6" s="1">
        <v>404</v>
      </c>
      <c r="G6" s="1">
        <v>1005</v>
      </c>
      <c r="H6" s="1">
        <v>2190</v>
      </c>
      <c r="I6" s="1">
        <v>3880</v>
      </c>
      <c r="J6" s="1">
        <v>2792</v>
      </c>
      <c r="K6" s="1">
        <v>1299</v>
      </c>
      <c r="L6" s="1">
        <v>6246</v>
      </c>
      <c r="M6" s="76">
        <v>2819</v>
      </c>
      <c r="N6" s="1">
        <v>1882</v>
      </c>
      <c r="O6" s="1">
        <v>5614</v>
      </c>
      <c r="P6" s="1">
        <v>3418</v>
      </c>
      <c r="Q6" s="1">
        <v>4902</v>
      </c>
      <c r="R6" s="1">
        <v>5295</v>
      </c>
      <c r="S6" s="1">
        <v>1549</v>
      </c>
      <c r="T6" s="1">
        <v>3423</v>
      </c>
      <c r="U6" s="1">
        <v>9399</v>
      </c>
      <c r="V6" s="1">
        <v>9943</v>
      </c>
      <c r="W6" s="1">
        <v>3697</v>
      </c>
      <c r="X6" s="29">
        <v>9035</v>
      </c>
    </row>
    <row r="7" spans="1:24" x14ac:dyDescent="0.25">
      <c r="A7" s="20" t="s">
        <v>26</v>
      </c>
      <c r="B7" s="122">
        <f t="shared" si="0"/>
        <v>33.663366336633665</v>
      </c>
      <c r="C7" s="123">
        <v>-1405</v>
      </c>
      <c r="D7" s="76">
        <v>-117</v>
      </c>
      <c r="E7" s="124">
        <v>3501</v>
      </c>
      <c r="F7" s="1">
        <v>101</v>
      </c>
      <c r="G7" s="1">
        <v>1536</v>
      </c>
      <c r="H7" s="1">
        <v>3094</v>
      </c>
      <c r="I7" s="1">
        <v>4023</v>
      </c>
      <c r="J7" s="1">
        <v>1771</v>
      </c>
      <c r="K7" s="1">
        <v>909</v>
      </c>
      <c r="L7" s="1">
        <v>3788</v>
      </c>
      <c r="M7" s="76">
        <v>786</v>
      </c>
      <c r="N7" s="1">
        <v>1457</v>
      </c>
      <c r="O7" s="1">
        <v>2265</v>
      </c>
      <c r="P7" s="1">
        <v>979</v>
      </c>
      <c r="Q7" s="1">
        <v>2036</v>
      </c>
      <c r="R7" s="1">
        <v>812</v>
      </c>
      <c r="S7" s="1">
        <v>531</v>
      </c>
      <c r="T7" s="1">
        <v>447</v>
      </c>
      <c r="U7" s="1">
        <v>806</v>
      </c>
      <c r="V7" s="1">
        <v>1292</v>
      </c>
      <c r="W7" s="1">
        <v>602</v>
      </c>
      <c r="X7" s="29">
        <v>1209</v>
      </c>
    </row>
    <row r="8" spans="1:24" x14ac:dyDescent="0.25">
      <c r="A8" s="20" t="s">
        <v>19</v>
      </c>
      <c r="B8" s="122">
        <f t="shared" si="0"/>
        <v>0.71372549019607845</v>
      </c>
      <c r="C8" s="123">
        <v>-280</v>
      </c>
      <c r="D8" s="76">
        <v>-420</v>
      </c>
      <c r="E8" s="124">
        <v>874</v>
      </c>
      <c r="F8" s="1">
        <v>510</v>
      </c>
      <c r="G8" s="1">
        <v>559</v>
      </c>
      <c r="H8" s="1">
        <v>1410</v>
      </c>
      <c r="I8" s="1">
        <v>992</v>
      </c>
      <c r="J8" s="1">
        <v>633</v>
      </c>
      <c r="K8" s="1">
        <v>686</v>
      </c>
      <c r="L8" s="1">
        <v>1249</v>
      </c>
      <c r="M8" s="76">
        <v>506</v>
      </c>
      <c r="N8" s="1">
        <v>48</v>
      </c>
      <c r="O8" s="1">
        <v>413</v>
      </c>
      <c r="P8" s="1">
        <v>10</v>
      </c>
      <c r="Q8" s="1">
        <v>66</v>
      </c>
      <c r="R8" s="1">
        <v>77</v>
      </c>
      <c r="S8" s="1">
        <v>22</v>
      </c>
      <c r="T8" s="1">
        <v>37</v>
      </c>
      <c r="U8" s="1">
        <v>23</v>
      </c>
      <c r="V8" s="1">
        <v>7</v>
      </c>
      <c r="W8" s="1">
        <v>94</v>
      </c>
      <c r="X8" s="29">
        <v>0</v>
      </c>
    </row>
    <row r="9" spans="1:24" x14ac:dyDescent="0.25">
      <c r="A9" s="39" t="s">
        <v>88</v>
      </c>
      <c r="B9" s="122">
        <f t="shared" si="0"/>
        <v>6.1875</v>
      </c>
      <c r="C9" s="123">
        <v>-117</v>
      </c>
      <c r="D9" s="76">
        <v>-18</v>
      </c>
      <c r="E9" s="124">
        <v>115</v>
      </c>
      <c r="F9" s="1">
        <v>16</v>
      </c>
      <c r="G9" s="1">
        <v>123</v>
      </c>
      <c r="H9" s="1">
        <v>106</v>
      </c>
      <c r="I9" s="1">
        <v>556</v>
      </c>
      <c r="J9" s="1">
        <v>589</v>
      </c>
      <c r="K9" s="1">
        <v>135</v>
      </c>
      <c r="L9" s="1">
        <v>668</v>
      </c>
      <c r="M9" s="76">
        <v>127</v>
      </c>
      <c r="N9" s="1">
        <v>368</v>
      </c>
      <c r="O9" s="1">
        <v>867</v>
      </c>
      <c r="P9" s="1">
        <v>568</v>
      </c>
      <c r="Q9" s="1">
        <v>81</v>
      </c>
      <c r="R9" s="1">
        <v>153</v>
      </c>
      <c r="S9" s="1">
        <v>166</v>
      </c>
      <c r="T9" s="1">
        <v>242</v>
      </c>
      <c r="U9" s="1">
        <v>81</v>
      </c>
      <c r="V9" s="1">
        <v>139</v>
      </c>
      <c r="W9" s="1">
        <v>36</v>
      </c>
      <c r="X9" s="29">
        <v>360</v>
      </c>
    </row>
    <row r="10" spans="1:24" x14ac:dyDescent="0.25">
      <c r="A10" s="20" t="s">
        <v>34</v>
      </c>
      <c r="B10" s="122" t="str">
        <f t="shared" si="0"/>
        <v/>
      </c>
      <c r="C10" s="123">
        <v>0</v>
      </c>
      <c r="D10" s="76">
        <v>0</v>
      </c>
      <c r="E10" s="124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12</v>
      </c>
      <c r="M10" s="76">
        <v>0</v>
      </c>
      <c r="N10" s="1">
        <v>0</v>
      </c>
      <c r="O10" s="1">
        <v>25</v>
      </c>
      <c r="P10" s="1">
        <v>2</v>
      </c>
      <c r="Q10" s="1">
        <v>0</v>
      </c>
      <c r="R10" s="1">
        <v>8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29">
        <v>0</v>
      </c>
    </row>
    <row r="11" spans="1:24" ht="13.8" thickBot="1" x14ac:dyDescent="0.3">
      <c r="A11" s="22" t="s">
        <v>58</v>
      </c>
      <c r="B11" s="139">
        <f t="shared" si="0"/>
        <v>3.0184971098265896</v>
      </c>
      <c r="C11" s="140">
        <v>-1125</v>
      </c>
      <c r="D11" s="141">
        <v>-344</v>
      </c>
      <c r="E11" s="142">
        <v>3476</v>
      </c>
      <c r="F11" s="1">
        <v>865</v>
      </c>
      <c r="G11" s="1">
        <v>2715</v>
      </c>
      <c r="H11" s="1">
        <v>2675</v>
      </c>
      <c r="I11" s="1">
        <v>2315</v>
      </c>
      <c r="J11" s="1">
        <v>1077</v>
      </c>
      <c r="K11" s="1">
        <v>977</v>
      </c>
      <c r="L11" s="1">
        <v>2247</v>
      </c>
      <c r="M11" s="76">
        <v>889</v>
      </c>
      <c r="N11" s="1">
        <v>522</v>
      </c>
      <c r="O11" s="70">
        <v>1893</v>
      </c>
      <c r="P11" s="70">
        <v>615</v>
      </c>
      <c r="Q11" s="70">
        <v>1045</v>
      </c>
      <c r="R11" s="70">
        <v>507</v>
      </c>
      <c r="S11" s="70">
        <v>366</v>
      </c>
      <c r="T11" s="70">
        <v>229</v>
      </c>
      <c r="U11" s="70">
        <v>475</v>
      </c>
      <c r="V11" s="70">
        <v>408</v>
      </c>
      <c r="W11" s="1">
        <v>426</v>
      </c>
      <c r="X11" s="29">
        <v>1024</v>
      </c>
    </row>
    <row r="12" spans="1:24" ht="13.8" thickBot="1" x14ac:dyDescent="0.3">
      <c r="A12" s="32" t="s">
        <v>22</v>
      </c>
      <c r="B12" s="143">
        <f t="shared" si="0"/>
        <v>2.3998405421566673</v>
      </c>
      <c r="C12" s="144">
        <v>-6318</v>
      </c>
      <c r="D12" s="145">
        <v>-2718</v>
      </c>
      <c r="E12" s="146">
        <f t="shared" ref="E12" si="1">SUM(E2:E11)</f>
        <v>17057</v>
      </c>
      <c r="F12" s="43">
        <f t="shared" ref="F12:K12" si="2">SUM(F2:F11)</f>
        <v>5017</v>
      </c>
      <c r="G12" s="43">
        <f t="shared" si="2"/>
        <v>15679</v>
      </c>
      <c r="H12" s="43">
        <f t="shared" si="2"/>
        <v>21091</v>
      </c>
      <c r="I12" s="43">
        <f t="shared" si="2"/>
        <v>21783</v>
      </c>
      <c r="J12" s="43">
        <f t="shared" si="2"/>
        <v>18076</v>
      </c>
      <c r="K12" s="43">
        <f t="shared" si="2"/>
        <v>12807</v>
      </c>
      <c r="L12" s="43">
        <v>26740</v>
      </c>
      <c r="M12" s="97">
        <v>12952</v>
      </c>
      <c r="N12" s="97">
        <f>SUM(N2:N11)</f>
        <v>10518</v>
      </c>
      <c r="O12" s="43">
        <f>SUM(O3:O11)</f>
        <v>20007</v>
      </c>
      <c r="P12" s="43">
        <f>SUM(P3:P11)</f>
        <v>12168</v>
      </c>
      <c r="Q12" s="43">
        <f>SUM(Q3:Q11)</f>
        <v>13775</v>
      </c>
      <c r="R12" s="43">
        <f>SUM(R3:R11)</f>
        <v>9819</v>
      </c>
      <c r="S12" s="43">
        <f t="shared" ref="S12:X12" si="3">SUM(S3:S11)</f>
        <v>5977</v>
      </c>
      <c r="T12" s="43">
        <f t="shared" si="3"/>
        <v>6570</v>
      </c>
      <c r="U12" s="43">
        <f t="shared" si="3"/>
        <v>14995</v>
      </c>
      <c r="V12" s="43">
        <f t="shared" si="3"/>
        <v>16065</v>
      </c>
      <c r="W12" s="43">
        <f t="shared" si="3"/>
        <v>5802</v>
      </c>
      <c r="X12" s="79">
        <f t="shared" si="3"/>
        <v>13783</v>
      </c>
    </row>
    <row r="13" spans="1:24" x14ac:dyDescent="0.25">
      <c r="B13" s="147"/>
      <c r="C13" s="147"/>
      <c r="D13" s="72"/>
      <c r="E13" s="72"/>
      <c r="F13" s="36"/>
      <c r="G13" s="36"/>
      <c r="H13" s="36"/>
      <c r="I13" s="36"/>
      <c r="J13" s="36"/>
      <c r="K13" s="36"/>
      <c r="L13" s="36"/>
      <c r="M13" s="72"/>
      <c r="N13" s="72"/>
    </row>
    <row r="14" spans="1:24" ht="13.8" thickBot="1" x14ac:dyDescent="0.3">
      <c r="B14" s="148"/>
      <c r="C14" s="148"/>
    </row>
    <row r="15" spans="1:24" ht="13.8" thickBot="1" x14ac:dyDescent="0.3">
      <c r="A15" s="47" t="s">
        <v>24</v>
      </c>
      <c r="B15" s="24" t="s">
        <v>169</v>
      </c>
      <c r="C15" s="114" t="s">
        <v>178</v>
      </c>
      <c r="D15" s="69" t="s">
        <v>170</v>
      </c>
      <c r="E15" s="116">
        <v>46113</v>
      </c>
      <c r="F15" s="99">
        <v>45748</v>
      </c>
      <c r="G15" s="99">
        <v>45383</v>
      </c>
      <c r="H15" s="99">
        <v>45017</v>
      </c>
      <c r="I15" s="99">
        <v>44652</v>
      </c>
      <c r="J15" s="99">
        <v>44287</v>
      </c>
      <c r="K15" s="99">
        <v>43922</v>
      </c>
      <c r="L15" s="99">
        <v>43556</v>
      </c>
      <c r="M15" s="99">
        <v>43191</v>
      </c>
      <c r="N15" s="25">
        <v>42826</v>
      </c>
      <c r="O15" s="25">
        <v>42461</v>
      </c>
      <c r="P15" s="25">
        <v>42095</v>
      </c>
      <c r="Q15" s="25">
        <v>41730</v>
      </c>
      <c r="R15" s="25">
        <v>41365</v>
      </c>
      <c r="S15" s="25">
        <v>41000</v>
      </c>
      <c r="T15" s="25">
        <v>40634</v>
      </c>
      <c r="U15" s="25">
        <v>40269</v>
      </c>
      <c r="V15" s="25">
        <v>39904</v>
      </c>
      <c r="W15" s="25">
        <v>39539</v>
      </c>
      <c r="X15" s="26">
        <v>39173</v>
      </c>
    </row>
    <row r="16" spans="1:24" x14ac:dyDescent="0.25">
      <c r="A16" s="48" t="s">
        <v>7</v>
      </c>
      <c r="B16" s="131">
        <f t="shared" ref="B16:B21" si="4">IFERROR(((E16-F16)/F16),"")</f>
        <v>-0.105</v>
      </c>
      <c r="C16" s="132">
        <v>-348</v>
      </c>
      <c r="D16" s="50">
        <v>-196</v>
      </c>
      <c r="E16" s="115">
        <v>358</v>
      </c>
      <c r="F16" s="50">
        <v>400</v>
      </c>
      <c r="G16" s="50">
        <v>545</v>
      </c>
      <c r="H16" s="50">
        <v>55</v>
      </c>
      <c r="I16" s="50">
        <v>62</v>
      </c>
      <c r="J16" s="50">
        <v>715</v>
      </c>
      <c r="K16" s="50">
        <v>715</v>
      </c>
      <c r="L16" s="50">
        <v>1085</v>
      </c>
      <c r="M16" s="50">
        <v>845</v>
      </c>
      <c r="N16" s="50">
        <v>515</v>
      </c>
      <c r="O16" s="50">
        <v>635</v>
      </c>
      <c r="P16" s="50">
        <v>0</v>
      </c>
      <c r="Q16" s="50">
        <v>905</v>
      </c>
      <c r="R16" s="50">
        <v>0</v>
      </c>
      <c r="S16" s="50">
        <v>16</v>
      </c>
      <c r="T16" s="50">
        <v>1</v>
      </c>
      <c r="U16" s="50">
        <v>0</v>
      </c>
      <c r="V16" s="50">
        <v>0</v>
      </c>
      <c r="W16" s="50">
        <v>0</v>
      </c>
      <c r="X16" s="60">
        <v>0</v>
      </c>
    </row>
    <row r="17" spans="1:25" x14ac:dyDescent="0.25">
      <c r="A17" s="48" t="s">
        <v>41</v>
      </c>
      <c r="B17" s="131" t="str">
        <f t="shared" si="4"/>
        <v/>
      </c>
      <c r="C17" s="132">
        <v>0</v>
      </c>
      <c r="D17" s="50">
        <v>0</v>
      </c>
      <c r="E17" s="115">
        <v>0</v>
      </c>
      <c r="F17" s="50">
        <v>0</v>
      </c>
      <c r="G17" s="50">
        <v>0</v>
      </c>
      <c r="H17" s="50">
        <v>0</v>
      </c>
      <c r="I17" s="50">
        <v>0</v>
      </c>
      <c r="J17" s="50">
        <v>0</v>
      </c>
      <c r="K17" s="50">
        <v>0</v>
      </c>
      <c r="L17" s="50">
        <v>0</v>
      </c>
      <c r="M17" s="50">
        <v>0</v>
      </c>
      <c r="N17" s="50">
        <v>0</v>
      </c>
      <c r="O17" s="50">
        <v>0</v>
      </c>
      <c r="P17" s="50">
        <v>0</v>
      </c>
      <c r="Q17" s="50">
        <v>0</v>
      </c>
      <c r="R17" s="50">
        <v>0</v>
      </c>
      <c r="S17" s="50">
        <v>0</v>
      </c>
      <c r="T17" s="50">
        <v>0</v>
      </c>
      <c r="U17" s="50">
        <v>0</v>
      </c>
      <c r="V17" s="50">
        <v>0</v>
      </c>
      <c r="W17" s="50">
        <v>0</v>
      </c>
      <c r="X17" s="60">
        <v>0</v>
      </c>
    </row>
    <row r="18" spans="1:25" x14ac:dyDescent="0.25">
      <c r="A18" s="48" t="s">
        <v>152</v>
      </c>
      <c r="B18" s="131">
        <f t="shared" si="4"/>
        <v>6</v>
      </c>
      <c r="C18" s="132">
        <v>-10</v>
      </c>
      <c r="D18" s="50">
        <v>-3</v>
      </c>
      <c r="E18" s="115">
        <v>7</v>
      </c>
      <c r="F18" s="50">
        <v>1</v>
      </c>
      <c r="G18" s="50">
        <v>29</v>
      </c>
      <c r="H18" s="50">
        <v>10</v>
      </c>
      <c r="I18" s="50">
        <v>22</v>
      </c>
      <c r="J18" s="50">
        <v>131</v>
      </c>
      <c r="K18" s="50">
        <v>2</v>
      </c>
      <c r="L18" s="50">
        <v>19</v>
      </c>
      <c r="M18" s="50">
        <v>0</v>
      </c>
      <c r="N18" s="50">
        <v>3</v>
      </c>
      <c r="O18" s="50">
        <v>53</v>
      </c>
      <c r="P18" s="50">
        <v>3</v>
      </c>
      <c r="Q18" s="50">
        <v>11</v>
      </c>
      <c r="R18" s="50">
        <v>0</v>
      </c>
      <c r="S18" s="50"/>
      <c r="T18" s="50"/>
      <c r="U18" s="50"/>
      <c r="V18" s="50"/>
      <c r="W18" s="50"/>
      <c r="X18" s="60"/>
    </row>
    <row r="19" spans="1:25" x14ac:dyDescent="0.25">
      <c r="A19" s="48" t="s">
        <v>153</v>
      </c>
      <c r="B19" s="131" t="str">
        <f t="shared" si="4"/>
        <v/>
      </c>
      <c r="C19" s="132">
        <v>-4</v>
      </c>
      <c r="D19" s="50">
        <v>0</v>
      </c>
      <c r="E19" s="115">
        <v>0</v>
      </c>
      <c r="F19" s="50">
        <v>0</v>
      </c>
      <c r="G19" s="50">
        <v>0</v>
      </c>
      <c r="H19" s="50">
        <v>0</v>
      </c>
      <c r="I19" s="50">
        <v>0</v>
      </c>
      <c r="J19" s="50">
        <v>50</v>
      </c>
      <c r="K19" s="50">
        <v>0</v>
      </c>
      <c r="L19" s="50">
        <v>20</v>
      </c>
      <c r="M19" s="50">
        <v>0</v>
      </c>
      <c r="N19" s="50">
        <v>0</v>
      </c>
      <c r="O19" s="50">
        <v>0</v>
      </c>
      <c r="P19" s="50">
        <v>0</v>
      </c>
      <c r="Q19" s="50">
        <v>0</v>
      </c>
      <c r="R19" s="50">
        <v>0</v>
      </c>
      <c r="S19" s="50"/>
      <c r="T19" s="50"/>
      <c r="U19" s="50"/>
      <c r="V19" s="50"/>
      <c r="W19" s="50"/>
      <c r="X19" s="60"/>
    </row>
    <row r="20" spans="1:25" ht="13.8" thickBot="1" x14ac:dyDescent="0.3">
      <c r="A20" s="51" t="s">
        <v>6</v>
      </c>
      <c r="B20" s="131" t="str">
        <f t="shared" si="4"/>
        <v/>
      </c>
      <c r="C20" s="132">
        <v>-10</v>
      </c>
      <c r="D20" s="50">
        <v>-4</v>
      </c>
      <c r="E20" s="115">
        <v>0</v>
      </c>
      <c r="F20" s="50">
        <v>0</v>
      </c>
      <c r="G20" s="50">
        <v>3</v>
      </c>
      <c r="H20" s="50">
        <v>0</v>
      </c>
      <c r="I20" s="50">
        <v>4</v>
      </c>
      <c r="J20" s="50">
        <v>15</v>
      </c>
      <c r="K20" s="50">
        <v>5</v>
      </c>
      <c r="L20" s="50">
        <v>9</v>
      </c>
      <c r="M20" s="50">
        <v>0</v>
      </c>
      <c r="N20" s="50">
        <v>0</v>
      </c>
      <c r="O20" s="50">
        <v>18</v>
      </c>
      <c r="P20" s="50">
        <v>0</v>
      </c>
      <c r="Q20" s="50">
        <v>1</v>
      </c>
      <c r="R20" s="50">
        <v>0</v>
      </c>
      <c r="S20" s="50">
        <v>0</v>
      </c>
      <c r="T20" s="50">
        <v>17</v>
      </c>
      <c r="U20" s="50">
        <v>0</v>
      </c>
      <c r="V20" s="50">
        <v>0</v>
      </c>
      <c r="W20" s="50">
        <v>0</v>
      </c>
      <c r="X20" s="60">
        <v>0</v>
      </c>
      <c r="Y20" s="1"/>
    </row>
    <row r="21" spans="1:25" ht="13.8" thickBot="1" x14ac:dyDescent="0.3">
      <c r="A21" s="55" t="s">
        <v>91</v>
      </c>
      <c r="B21" s="56">
        <f t="shared" si="4"/>
        <v>-8.9775561097256859E-2</v>
      </c>
      <c r="C21" s="149">
        <v>-372</v>
      </c>
      <c r="D21" s="74">
        <v>-203</v>
      </c>
      <c r="E21" s="57">
        <f t="shared" ref="E21" si="5">SUM(E16:E20)</f>
        <v>365</v>
      </c>
      <c r="F21" s="74">
        <f t="shared" ref="F21:K21" si="6">SUM(F16:F20)</f>
        <v>401</v>
      </c>
      <c r="G21" s="74">
        <f t="shared" si="6"/>
        <v>577</v>
      </c>
      <c r="H21" s="74">
        <f t="shared" si="6"/>
        <v>65</v>
      </c>
      <c r="I21" s="74">
        <f t="shared" si="6"/>
        <v>88</v>
      </c>
      <c r="J21" s="74">
        <f t="shared" si="6"/>
        <v>911</v>
      </c>
      <c r="K21" s="74">
        <f t="shared" si="6"/>
        <v>722</v>
      </c>
      <c r="L21" s="74">
        <v>1133</v>
      </c>
      <c r="M21" s="74">
        <f t="shared" ref="M21:R21" si="7">SUM(M16:M20)</f>
        <v>845</v>
      </c>
      <c r="N21" s="74">
        <f t="shared" si="7"/>
        <v>518</v>
      </c>
      <c r="O21" s="74">
        <f t="shared" si="7"/>
        <v>706</v>
      </c>
      <c r="P21" s="74">
        <f t="shared" si="7"/>
        <v>3</v>
      </c>
      <c r="Q21" s="74">
        <f t="shared" si="7"/>
        <v>917</v>
      </c>
      <c r="R21" s="74">
        <f t="shared" si="7"/>
        <v>0</v>
      </c>
      <c r="S21" s="74">
        <f t="shared" ref="S21:X21" si="8">SUM(S16:S20)</f>
        <v>16</v>
      </c>
      <c r="T21" s="74">
        <f t="shared" si="8"/>
        <v>18</v>
      </c>
      <c r="U21" s="74">
        <f t="shared" si="8"/>
        <v>0</v>
      </c>
      <c r="V21" s="74">
        <f t="shared" si="8"/>
        <v>0</v>
      </c>
      <c r="W21" s="74">
        <f t="shared" si="8"/>
        <v>0</v>
      </c>
      <c r="X21" s="75">
        <f t="shared" si="8"/>
        <v>0</v>
      </c>
      <c r="Y21" s="1"/>
    </row>
  </sheetData>
  <conditionalFormatting sqref="E1">
    <cfRule type="expression" dxfId="20" priority="2">
      <formula>ISBLANK(XFD1)=FALSE</formula>
    </cfRule>
  </conditionalFormatting>
  <conditionalFormatting sqref="E15">
    <cfRule type="expression" dxfId="19" priority="1">
      <formula>ISBLANK(XFD15)=FALSE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30"/>
  <sheetViews>
    <sheetView zoomScaleNormal="100" workbookViewId="0"/>
  </sheetViews>
  <sheetFormatPr defaultColWidth="8.6640625" defaultRowHeight="13.2" x14ac:dyDescent="0.25"/>
  <cols>
    <col min="1" max="1" width="18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2" width="11.6640625" customWidth="1"/>
    <col min="13" max="13" width="11.33203125" customWidth="1"/>
    <col min="14" max="14" width="10.6640625" customWidth="1"/>
    <col min="15" max="24" width="10.109375" bestFit="1" customWidth="1"/>
  </cols>
  <sheetData>
    <row r="1" spans="1:25" ht="13.8" thickBot="1" x14ac:dyDescent="0.3">
      <c r="A1" s="38" t="s">
        <v>90</v>
      </c>
      <c r="B1" s="24" t="s">
        <v>169</v>
      </c>
      <c r="C1" s="114" t="s">
        <v>178</v>
      </c>
      <c r="D1" s="69" t="s">
        <v>170</v>
      </c>
      <c r="E1" s="116">
        <v>46113</v>
      </c>
      <c r="F1" s="99">
        <v>45748</v>
      </c>
      <c r="G1" s="99">
        <v>45383</v>
      </c>
      <c r="H1" s="99">
        <v>45017</v>
      </c>
      <c r="I1" s="99">
        <v>44652</v>
      </c>
      <c r="J1" s="99">
        <v>44287</v>
      </c>
      <c r="K1" s="99">
        <v>43922</v>
      </c>
      <c r="L1" s="99">
        <v>43556</v>
      </c>
      <c r="M1" s="99">
        <v>43191</v>
      </c>
      <c r="N1" s="25">
        <v>42826</v>
      </c>
      <c r="O1" s="25">
        <v>42461</v>
      </c>
      <c r="P1" s="25">
        <v>42095</v>
      </c>
      <c r="Q1" s="25">
        <v>41730</v>
      </c>
      <c r="R1" s="25">
        <v>41365</v>
      </c>
      <c r="S1" s="25">
        <v>41000</v>
      </c>
      <c r="T1" s="25">
        <v>40634</v>
      </c>
      <c r="U1" s="25">
        <v>40269</v>
      </c>
      <c r="V1" s="25">
        <v>39904</v>
      </c>
      <c r="W1" s="25">
        <v>39539</v>
      </c>
      <c r="X1" s="26">
        <v>39173</v>
      </c>
    </row>
    <row r="2" spans="1:25" x14ac:dyDescent="0.25">
      <c r="A2" s="39" t="s">
        <v>4</v>
      </c>
      <c r="B2" s="119" t="str">
        <f t="shared" ref="B2:B20" si="0">IFERROR(((E2-F2)/F2),"")</f>
        <v/>
      </c>
      <c r="C2" s="120">
        <v>0</v>
      </c>
      <c r="D2" s="37">
        <v>0</v>
      </c>
      <c r="E2" s="112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>
        <v>0</v>
      </c>
      <c r="V2" s="37">
        <v>0</v>
      </c>
      <c r="W2" s="37"/>
      <c r="X2" s="59"/>
    </row>
    <row r="3" spans="1:25" x14ac:dyDescent="0.25">
      <c r="A3" s="39" t="s">
        <v>96</v>
      </c>
      <c r="B3" s="119" t="str">
        <f t="shared" si="0"/>
        <v/>
      </c>
      <c r="C3" s="120">
        <v>-59</v>
      </c>
      <c r="D3" s="37">
        <v>-85</v>
      </c>
      <c r="E3" s="112"/>
      <c r="F3" s="37"/>
      <c r="G3" s="37"/>
      <c r="H3" s="37"/>
      <c r="I3" s="37"/>
      <c r="J3" s="37"/>
      <c r="K3" s="50">
        <v>148</v>
      </c>
      <c r="L3" s="37">
        <v>0</v>
      </c>
      <c r="M3" s="37"/>
      <c r="N3" s="37">
        <v>7</v>
      </c>
      <c r="O3" s="37">
        <v>195</v>
      </c>
      <c r="P3" s="37">
        <v>0</v>
      </c>
      <c r="Q3" s="37">
        <v>3</v>
      </c>
      <c r="R3" s="37">
        <v>3</v>
      </c>
      <c r="S3" s="37">
        <v>3</v>
      </c>
      <c r="T3" s="37">
        <v>15</v>
      </c>
      <c r="U3" s="37">
        <v>52</v>
      </c>
      <c r="V3" s="37">
        <v>2</v>
      </c>
      <c r="W3" s="37"/>
      <c r="X3" s="59"/>
    </row>
    <row r="4" spans="1:25" x14ac:dyDescent="0.25">
      <c r="A4" s="39" t="s">
        <v>5</v>
      </c>
      <c r="B4" s="119" t="str">
        <f t="shared" si="0"/>
        <v/>
      </c>
      <c r="C4" s="120">
        <v>0</v>
      </c>
      <c r="D4" s="37">
        <v>0</v>
      </c>
      <c r="E4" s="112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>
        <v>0</v>
      </c>
      <c r="V4" s="37">
        <v>0</v>
      </c>
      <c r="W4" s="37"/>
      <c r="X4" s="59"/>
    </row>
    <row r="5" spans="1:25" x14ac:dyDescent="0.25">
      <c r="A5" s="39" t="s">
        <v>2</v>
      </c>
      <c r="B5" s="119">
        <f t="shared" si="0"/>
        <v>-0.97497982243744952</v>
      </c>
      <c r="C5" s="120">
        <v>-469</v>
      </c>
      <c r="D5" s="37">
        <v>-467</v>
      </c>
      <c r="E5" s="112">
        <v>31</v>
      </c>
      <c r="F5" s="37">
        <v>1239</v>
      </c>
      <c r="G5" s="37"/>
      <c r="H5" s="37">
        <v>493</v>
      </c>
      <c r="I5" s="37">
        <v>1049</v>
      </c>
      <c r="J5" s="37">
        <v>202</v>
      </c>
      <c r="K5" s="37">
        <v>50</v>
      </c>
      <c r="L5" s="37">
        <v>907</v>
      </c>
      <c r="M5" s="37">
        <v>379</v>
      </c>
      <c r="N5" s="37">
        <v>647</v>
      </c>
      <c r="O5" s="37">
        <v>716</v>
      </c>
      <c r="P5" s="37">
        <v>185</v>
      </c>
      <c r="Q5" s="37">
        <v>35</v>
      </c>
      <c r="R5" s="37">
        <v>3</v>
      </c>
      <c r="S5" s="37">
        <v>35</v>
      </c>
      <c r="T5" s="37"/>
      <c r="U5" s="37">
        <v>279</v>
      </c>
      <c r="V5" s="37">
        <v>307</v>
      </c>
      <c r="W5" s="37"/>
      <c r="X5" s="59"/>
    </row>
    <row r="6" spans="1:25" x14ac:dyDescent="0.25">
      <c r="A6" s="39" t="s">
        <v>12</v>
      </c>
      <c r="B6" s="119" t="str">
        <f t="shared" si="0"/>
        <v/>
      </c>
      <c r="C6" s="120">
        <v>0</v>
      </c>
      <c r="D6" s="37">
        <v>-8</v>
      </c>
      <c r="E6" s="112"/>
      <c r="F6" s="37"/>
      <c r="G6" s="37"/>
      <c r="H6" s="37"/>
      <c r="I6" s="37"/>
      <c r="J6" s="37"/>
      <c r="K6" s="37"/>
      <c r="L6" s="37">
        <v>8</v>
      </c>
      <c r="M6" s="37"/>
      <c r="N6" s="37">
        <v>3</v>
      </c>
      <c r="O6" s="37"/>
      <c r="P6" s="37"/>
      <c r="Q6" s="37"/>
      <c r="R6" s="37"/>
      <c r="S6" s="37"/>
      <c r="T6" s="37"/>
      <c r="U6" s="37">
        <v>0</v>
      </c>
      <c r="V6" s="37">
        <v>0</v>
      </c>
      <c r="W6" s="37"/>
      <c r="X6" s="59"/>
    </row>
    <row r="7" spans="1:25" x14ac:dyDescent="0.25">
      <c r="A7" s="39" t="s">
        <v>9</v>
      </c>
      <c r="B7" s="119">
        <f t="shared" si="0"/>
        <v>-1</v>
      </c>
      <c r="C7" s="120">
        <v>0</v>
      </c>
      <c r="D7" s="37">
        <v>5</v>
      </c>
      <c r="E7" s="112"/>
      <c r="F7" s="37">
        <v>5</v>
      </c>
      <c r="G7" s="37"/>
      <c r="H7" s="37"/>
      <c r="I7" s="37"/>
      <c r="J7" s="37"/>
      <c r="K7" s="37"/>
      <c r="L7" s="37">
        <v>135</v>
      </c>
      <c r="M7" s="37"/>
      <c r="N7" s="37">
        <v>53</v>
      </c>
      <c r="O7" s="37">
        <v>40</v>
      </c>
      <c r="P7" s="37"/>
      <c r="Q7" s="37"/>
      <c r="R7" s="37"/>
      <c r="S7" s="37"/>
      <c r="T7" s="37"/>
      <c r="U7" s="37">
        <v>0</v>
      </c>
      <c r="V7" s="37">
        <v>0</v>
      </c>
      <c r="W7" s="37"/>
      <c r="X7" s="59"/>
    </row>
    <row r="8" spans="1:25" x14ac:dyDescent="0.25">
      <c r="A8" s="39" t="s">
        <v>14</v>
      </c>
      <c r="B8" s="119" t="str">
        <f t="shared" si="0"/>
        <v/>
      </c>
      <c r="C8" s="120">
        <v>0</v>
      </c>
      <c r="D8" s="37">
        <v>0</v>
      </c>
      <c r="E8" s="112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>
        <v>4</v>
      </c>
      <c r="V8" s="37">
        <v>105</v>
      </c>
      <c r="W8" s="37"/>
      <c r="X8" s="59"/>
    </row>
    <row r="9" spans="1:25" x14ac:dyDescent="0.25">
      <c r="A9" s="39" t="s">
        <v>17</v>
      </c>
      <c r="B9" s="119" t="str">
        <f t="shared" si="0"/>
        <v/>
      </c>
      <c r="C9" s="120">
        <v>0</v>
      </c>
      <c r="D9" s="37">
        <v>0</v>
      </c>
      <c r="E9" s="112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59"/>
    </row>
    <row r="10" spans="1:25" x14ac:dyDescent="0.25">
      <c r="A10" s="39" t="s">
        <v>15</v>
      </c>
      <c r="B10" s="119" t="str">
        <f t="shared" si="0"/>
        <v/>
      </c>
      <c r="C10" s="120">
        <v>0</v>
      </c>
      <c r="D10" s="37">
        <v>0</v>
      </c>
      <c r="E10" s="112"/>
      <c r="F10" s="37"/>
      <c r="G10" s="37"/>
      <c r="H10" s="37"/>
      <c r="I10" s="37"/>
      <c r="J10" s="37"/>
      <c r="K10" s="37"/>
      <c r="L10" s="37">
        <v>35</v>
      </c>
      <c r="M10" s="37"/>
      <c r="N10" s="37"/>
      <c r="O10" s="37"/>
      <c r="P10" s="37"/>
      <c r="Q10" s="37"/>
      <c r="R10" s="37"/>
      <c r="S10" s="37"/>
      <c r="T10" s="37"/>
      <c r="U10" s="37">
        <v>0</v>
      </c>
      <c r="V10" s="37">
        <v>0</v>
      </c>
      <c r="W10" s="37"/>
      <c r="X10" s="59"/>
    </row>
    <row r="11" spans="1:25" x14ac:dyDescent="0.25">
      <c r="A11" s="39" t="s">
        <v>10</v>
      </c>
      <c r="B11" s="119" t="str">
        <f t="shared" si="0"/>
        <v/>
      </c>
      <c r="C11" s="120">
        <v>0</v>
      </c>
      <c r="D11" s="37">
        <v>0</v>
      </c>
      <c r="E11" s="112"/>
      <c r="F11" s="37"/>
      <c r="G11" s="37"/>
      <c r="H11" s="37"/>
      <c r="I11" s="37"/>
      <c r="J11" s="37"/>
      <c r="K11" s="37"/>
      <c r="L11" s="37">
        <v>14</v>
      </c>
      <c r="M11" s="37"/>
      <c r="N11" s="37"/>
      <c r="O11" s="37"/>
      <c r="P11" s="37"/>
      <c r="Q11" s="37"/>
      <c r="R11" s="37"/>
      <c r="S11" s="37"/>
      <c r="T11" s="37">
        <v>5</v>
      </c>
      <c r="U11" s="37">
        <v>7</v>
      </c>
      <c r="V11" s="37">
        <v>20</v>
      </c>
      <c r="W11" s="37"/>
      <c r="X11" s="59"/>
      <c r="Y11" s="1"/>
    </row>
    <row r="12" spans="1:25" x14ac:dyDescent="0.25">
      <c r="A12" s="39" t="s">
        <v>98</v>
      </c>
      <c r="B12" s="119" t="str">
        <f t="shared" si="0"/>
        <v/>
      </c>
      <c r="C12" s="120">
        <v>0</v>
      </c>
      <c r="D12" s="37">
        <v>-440</v>
      </c>
      <c r="E12" s="112"/>
      <c r="F12" s="37"/>
      <c r="G12" s="37"/>
      <c r="H12" s="37"/>
      <c r="I12" s="37"/>
      <c r="J12" s="37"/>
      <c r="K12" s="37"/>
      <c r="L12" s="37">
        <v>0</v>
      </c>
      <c r="M12" s="37"/>
      <c r="N12" s="37"/>
      <c r="O12" s="37">
        <v>0</v>
      </c>
      <c r="P12" s="37"/>
      <c r="Q12" s="37"/>
      <c r="R12" s="37"/>
      <c r="S12" s="37"/>
      <c r="T12" s="37"/>
      <c r="U12" s="37">
        <v>0</v>
      </c>
      <c r="V12" s="37">
        <v>0</v>
      </c>
      <c r="W12" s="37"/>
      <c r="X12" s="59"/>
      <c r="Y12" s="1"/>
    </row>
    <row r="13" spans="1:25" x14ac:dyDescent="0.25">
      <c r="A13" s="39" t="s">
        <v>26</v>
      </c>
      <c r="B13" s="119">
        <f t="shared" si="0"/>
        <v>-1</v>
      </c>
      <c r="C13" s="120">
        <v>-21</v>
      </c>
      <c r="D13" s="37">
        <v>-6</v>
      </c>
      <c r="E13" s="112"/>
      <c r="F13" s="37">
        <v>13</v>
      </c>
      <c r="G13" s="37"/>
      <c r="H13" s="37"/>
      <c r="I13" s="37">
        <v>21</v>
      </c>
      <c r="J13" s="37"/>
      <c r="K13" s="37"/>
      <c r="L13" s="37">
        <v>51</v>
      </c>
      <c r="M13" s="37"/>
      <c r="N13" s="37">
        <v>15</v>
      </c>
      <c r="O13" s="37">
        <v>19</v>
      </c>
      <c r="P13" s="37">
        <v>45</v>
      </c>
      <c r="Q13" s="37"/>
      <c r="R13" s="37">
        <v>35</v>
      </c>
      <c r="S13" s="37"/>
      <c r="T13" s="37"/>
      <c r="U13" s="37">
        <v>0</v>
      </c>
      <c r="V13" s="37">
        <v>0</v>
      </c>
      <c r="W13" s="37">
        <v>326</v>
      </c>
      <c r="X13" s="59"/>
      <c r="Y13" s="1"/>
    </row>
    <row r="14" spans="1:25" x14ac:dyDescent="0.25">
      <c r="A14" s="39" t="s">
        <v>25</v>
      </c>
      <c r="B14" s="119">
        <f t="shared" si="0"/>
        <v>-0.68351063829787229</v>
      </c>
      <c r="C14" s="120">
        <v>-181</v>
      </c>
      <c r="D14" s="37">
        <v>-34</v>
      </c>
      <c r="E14" s="112">
        <v>238</v>
      </c>
      <c r="F14" s="37">
        <v>752</v>
      </c>
      <c r="G14" s="37">
        <v>104</v>
      </c>
      <c r="H14" s="37">
        <v>545</v>
      </c>
      <c r="I14" s="37">
        <v>946</v>
      </c>
      <c r="J14" s="37">
        <v>745</v>
      </c>
      <c r="K14" s="37">
        <v>85</v>
      </c>
      <c r="L14" s="37">
        <v>1733</v>
      </c>
      <c r="M14" s="37">
        <v>577</v>
      </c>
      <c r="N14" s="37">
        <v>1704</v>
      </c>
      <c r="O14" s="37">
        <v>1762</v>
      </c>
      <c r="P14" s="37">
        <v>950</v>
      </c>
      <c r="Q14" s="37">
        <v>669</v>
      </c>
      <c r="R14" s="37">
        <v>303</v>
      </c>
      <c r="S14" s="37">
        <v>669</v>
      </c>
      <c r="T14" s="37">
        <v>262</v>
      </c>
      <c r="U14" s="37">
        <v>480</v>
      </c>
      <c r="V14" s="37">
        <v>1159</v>
      </c>
      <c r="W14" s="37"/>
      <c r="X14" s="59"/>
    </row>
    <row r="15" spans="1:25" x14ac:dyDescent="0.25">
      <c r="A15" s="39" t="s">
        <v>97</v>
      </c>
      <c r="B15" s="119" t="str">
        <f t="shared" si="0"/>
        <v/>
      </c>
      <c r="C15" s="120">
        <v>0</v>
      </c>
      <c r="D15" s="37">
        <v>0</v>
      </c>
      <c r="E15" s="112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>
        <v>0</v>
      </c>
      <c r="V15" s="37">
        <v>0</v>
      </c>
      <c r="W15" s="37"/>
      <c r="X15" s="59"/>
    </row>
    <row r="16" spans="1:25" x14ac:dyDescent="0.25">
      <c r="A16" s="39" t="s">
        <v>13</v>
      </c>
      <c r="B16" s="119" t="str">
        <f t="shared" si="0"/>
        <v/>
      </c>
      <c r="C16" s="120">
        <v>0</v>
      </c>
      <c r="D16" s="37">
        <v>0</v>
      </c>
      <c r="E16" s="112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>
        <v>31</v>
      </c>
      <c r="V16" s="37">
        <v>21</v>
      </c>
      <c r="W16" s="37"/>
      <c r="X16" s="59"/>
    </row>
    <row r="17" spans="1:24" x14ac:dyDescent="0.25">
      <c r="A17" s="39" t="s">
        <v>34</v>
      </c>
      <c r="B17" s="119" t="str">
        <f t="shared" si="0"/>
        <v/>
      </c>
      <c r="C17" s="120">
        <v>0</v>
      </c>
      <c r="D17" s="37">
        <v>0</v>
      </c>
      <c r="E17" s="112"/>
      <c r="F17" s="37"/>
      <c r="G17" s="37"/>
      <c r="H17" s="37"/>
      <c r="I17" s="37"/>
      <c r="J17" s="37"/>
      <c r="K17" s="37"/>
      <c r="L17" s="37">
        <v>0</v>
      </c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59"/>
    </row>
    <row r="18" spans="1:24" x14ac:dyDescent="0.25">
      <c r="A18" s="39" t="s">
        <v>86</v>
      </c>
      <c r="B18" s="119">
        <f t="shared" si="0"/>
        <v>-0.30129716981132076</v>
      </c>
      <c r="C18" s="120">
        <v>-765</v>
      </c>
      <c r="D18" s="37">
        <v>-454</v>
      </c>
      <c r="E18" s="112">
        <v>1185</v>
      </c>
      <c r="F18" s="37">
        <v>1696</v>
      </c>
      <c r="G18" s="37">
        <v>493</v>
      </c>
      <c r="H18" s="37">
        <v>1552</v>
      </c>
      <c r="I18" s="37">
        <v>1835</v>
      </c>
      <c r="J18" s="37">
        <v>455</v>
      </c>
      <c r="K18" s="37">
        <v>227</v>
      </c>
      <c r="L18" s="37">
        <v>1510</v>
      </c>
      <c r="M18" s="37"/>
      <c r="N18" s="37">
        <v>888</v>
      </c>
      <c r="O18" s="37">
        <v>886</v>
      </c>
      <c r="P18" s="37">
        <v>718</v>
      </c>
      <c r="Q18" s="37">
        <v>484</v>
      </c>
      <c r="R18" s="37">
        <v>120</v>
      </c>
      <c r="S18" s="37">
        <v>484</v>
      </c>
      <c r="T18" s="37">
        <v>170</v>
      </c>
      <c r="U18" s="37">
        <v>126</v>
      </c>
      <c r="V18" s="37">
        <v>12</v>
      </c>
      <c r="W18" s="37"/>
      <c r="X18" s="59"/>
    </row>
    <row r="19" spans="1:24" ht="13.8" thickBot="1" x14ac:dyDescent="0.3">
      <c r="A19" s="40" t="s">
        <v>6</v>
      </c>
      <c r="B19" s="150">
        <f t="shared" si="0"/>
        <v>-1</v>
      </c>
      <c r="C19" s="151">
        <v>-83</v>
      </c>
      <c r="D19" s="37">
        <v>56</v>
      </c>
      <c r="E19" s="112"/>
      <c r="F19" s="37">
        <f>85+96</f>
        <v>181</v>
      </c>
      <c r="G19" s="37">
        <v>14</v>
      </c>
      <c r="H19" s="37">
        <f>17+128</f>
        <v>145</v>
      </c>
      <c r="I19" s="37">
        <v>14</v>
      </c>
      <c r="J19" s="37">
        <v>0</v>
      </c>
      <c r="K19" s="37">
        <v>114</v>
      </c>
      <c r="L19" s="37">
        <v>58</v>
      </c>
      <c r="M19" s="37">
        <v>518</v>
      </c>
      <c r="N19" s="37">
        <v>57</v>
      </c>
      <c r="O19" s="37">
        <v>32</v>
      </c>
      <c r="P19" s="37">
        <v>28</v>
      </c>
      <c r="Q19" s="37">
        <v>5</v>
      </c>
      <c r="R19" s="37">
        <v>9</v>
      </c>
      <c r="S19" s="37">
        <v>5</v>
      </c>
      <c r="T19" s="37">
        <v>14</v>
      </c>
      <c r="U19" s="37">
        <v>368</v>
      </c>
      <c r="V19" s="37">
        <v>77</v>
      </c>
      <c r="W19" s="37">
        <v>12</v>
      </c>
      <c r="X19" s="59"/>
    </row>
    <row r="20" spans="1:24" ht="13.8" thickBot="1" x14ac:dyDescent="0.3">
      <c r="A20" s="41" t="s">
        <v>91</v>
      </c>
      <c r="B20" s="152">
        <f t="shared" si="0"/>
        <v>-0.62583633556356155</v>
      </c>
      <c r="C20" s="144">
        <v>-1578</v>
      </c>
      <c r="D20" s="43">
        <v>-1433</v>
      </c>
      <c r="E20" s="113">
        <f t="shared" ref="E20" si="1">SUM(E2:E19)</f>
        <v>1454</v>
      </c>
      <c r="F20" s="43">
        <f t="shared" ref="F20:G20" si="2">SUM(F2:F19)</f>
        <v>3886</v>
      </c>
      <c r="G20" s="43">
        <f t="shared" si="2"/>
        <v>611</v>
      </c>
      <c r="H20" s="43">
        <f t="shared" ref="H20:L20" si="3">SUM(H2:H19)</f>
        <v>2735</v>
      </c>
      <c r="I20" s="43">
        <f t="shared" si="3"/>
        <v>3865</v>
      </c>
      <c r="J20" s="43">
        <f t="shared" si="3"/>
        <v>1402</v>
      </c>
      <c r="K20" s="43">
        <f t="shared" si="3"/>
        <v>624</v>
      </c>
      <c r="L20" s="43">
        <f t="shared" si="3"/>
        <v>4451</v>
      </c>
      <c r="M20" s="43">
        <v>1474</v>
      </c>
      <c r="N20" s="43">
        <f>SUM(N2:N19)</f>
        <v>3374</v>
      </c>
      <c r="O20" s="43">
        <f>SUM(O2:O19)</f>
        <v>3650</v>
      </c>
      <c r="P20" s="43">
        <f>SUM(P2:P19)</f>
        <v>1926</v>
      </c>
      <c r="Q20" s="43">
        <f>SUM(Q2:Q19)</f>
        <v>1196</v>
      </c>
      <c r="R20" s="43">
        <f>SUM(R2:R19)</f>
        <v>473</v>
      </c>
      <c r="S20" s="43">
        <f t="shared" ref="S20:X20" si="4">SUM(S2:S19)</f>
        <v>1196</v>
      </c>
      <c r="T20" s="43">
        <f t="shared" si="4"/>
        <v>466</v>
      </c>
      <c r="U20" s="43">
        <f t="shared" si="4"/>
        <v>1347</v>
      </c>
      <c r="V20" s="43">
        <f t="shared" si="4"/>
        <v>1703</v>
      </c>
      <c r="W20" s="43">
        <f t="shared" si="4"/>
        <v>338</v>
      </c>
      <c r="X20" s="79">
        <f t="shared" si="4"/>
        <v>0</v>
      </c>
    </row>
    <row r="21" spans="1:24" x14ac:dyDescent="0.25">
      <c r="B21" s="148"/>
      <c r="C21" s="148"/>
    </row>
    <row r="22" spans="1:24" ht="13.8" thickBot="1" x14ac:dyDescent="0.3">
      <c r="B22" s="153"/>
      <c r="C22" s="15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s="46" customFormat="1" ht="13.8" thickBot="1" x14ac:dyDescent="0.3">
      <c r="A23" s="47" t="s">
        <v>120</v>
      </c>
      <c r="B23" s="24" t="s">
        <v>169</v>
      </c>
      <c r="C23" s="114" t="s">
        <v>178</v>
      </c>
      <c r="D23" s="69" t="s">
        <v>170</v>
      </c>
      <c r="E23" s="116">
        <v>46113</v>
      </c>
      <c r="F23" s="99">
        <v>45748</v>
      </c>
      <c r="G23" s="99">
        <v>45383</v>
      </c>
      <c r="H23" s="99">
        <v>45017</v>
      </c>
      <c r="I23" s="99">
        <v>44652</v>
      </c>
      <c r="J23" s="99">
        <v>44287</v>
      </c>
      <c r="K23" s="99">
        <v>43922</v>
      </c>
      <c r="L23" s="99">
        <v>43556</v>
      </c>
      <c r="M23" s="99">
        <v>43191</v>
      </c>
      <c r="N23" s="25">
        <v>42826</v>
      </c>
      <c r="O23" s="25">
        <v>42461</v>
      </c>
      <c r="P23" s="25">
        <v>42095</v>
      </c>
      <c r="Q23" s="25">
        <v>41730</v>
      </c>
      <c r="R23" s="25">
        <v>41365</v>
      </c>
      <c r="S23" s="25">
        <v>41000</v>
      </c>
      <c r="T23" s="25">
        <v>40634</v>
      </c>
      <c r="U23" s="25">
        <v>40269</v>
      </c>
      <c r="V23" s="25">
        <v>39904</v>
      </c>
      <c r="W23" s="25">
        <v>39539</v>
      </c>
      <c r="X23" s="26">
        <v>39173</v>
      </c>
    </row>
    <row r="24" spans="1:24" s="46" customFormat="1" x14ac:dyDescent="0.25">
      <c r="A24" s="48" t="s">
        <v>7</v>
      </c>
      <c r="B24" s="131" t="str">
        <f t="shared" ref="B24:B27" si="5">IFERROR(((E24-F24)/F24),"")</f>
        <v/>
      </c>
      <c r="C24" s="132"/>
      <c r="D24" s="50">
        <v>0</v>
      </c>
      <c r="E24" s="115"/>
      <c r="F24" s="50"/>
      <c r="G24" s="50"/>
      <c r="H24" s="50"/>
      <c r="I24" s="50"/>
      <c r="J24" s="50">
        <v>0</v>
      </c>
      <c r="K24" s="50">
        <v>0</v>
      </c>
      <c r="L24" s="50">
        <v>28</v>
      </c>
      <c r="M24" s="50"/>
      <c r="N24" s="50"/>
      <c r="O24" s="50">
        <v>25</v>
      </c>
      <c r="P24" s="50">
        <v>0</v>
      </c>
      <c r="Q24" s="50"/>
      <c r="R24" s="50">
        <v>0</v>
      </c>
      <c r="S24" s="50">
        <v>0</v>
      </c>
      <c r="T24" s="50">
        <v>0</v>
      </c>
      <c r="U24" s="50">
        <v>0</v>
      </c>
      <c r="V24" s="50">
        <f>SUM(Y24:Z24)</f>
        <v>0</v>
      </c>
      <c r="W24" s="50">
        <f>B39</f>
        <v>0</v>
      </c>
      <c r="X24" s="60">
        <f>B61</f>
        <v>0</v>
      </c>
    </row>
    <row r="25" spans="1:24" s="46" customFormat="1" x14ac:dyDescent="0.25">
      <c r="A25" s="48" t="s">
        <v>154</v>
      </c>
      <c r="B25" s="131" t="str">
        <f t="shared" si="5"/>
        <v/>
      </c>
      <c r="C25" s="132"/>
      <c r="D25" s="50">
        <v>0</v>
      </c>
      <c r="E25" s="115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60"/>
    </row>
    <row r="26" spans="1:24" s="46" customFormat="1" ht="13.8" thickBot="1" x14ac:dyDescent="0.3">
      <c r="A26" s="51" t="s">
        <v>6</v>
      </c>
      <c r="B26" s="154" t="str">
        <f t="shared" si="5"/>
        <v/>
      </c>
      <c r="C26" s="132"/>
      <c r="D26" s="50">
        <v>0</v>
      </c>
      <c r="E26" s="115"/>
      <c r="F26" s="50"/>
      <c r="G26" s="50"/>
      <c r="H26" s="50"/>
      <c r="I26" s="50"/>
      <c r="J26" s="50">
        <v>0</v>
      </c>
      <c r="K26" s="50">
        <v>19</v>
      </c>
      <c r="L26" s="50">
        <v>93</v>
      </c>
      <c r="M26" s="50"/>
      <c r="N26" s="50">
        <v>0</v>
      </c>
      <c r="O26" s="50">
        <v>47</v>
      </c>
      <c r="P26" s="50">
        <v>0</v>
      </c>
      <c r="Q26" s="50"/>
      <c r="R26" s="50">
        <v>0</v>
      </c>
      <c r="S26" s="50">
        <v>0</v>
      </c>
      <c r="T26" s="50">
        <v>0</v>
      </c>
      <c r="U26" s="50">
        <v>0</v>
      </c>
      <c r="V26" s="50">
        <f>SUM(Y26:Z26)</f>
        <v>0</v>
      </c>
      <c r="W26" s="50">
        <v>0</v>
      </c>
      <c r="X26" s="60">
        <f>B70</f>
        <v>0</v>
      </c>
    </row>
    <row r="27" spans="1:24" s="46" customFormat="1" ht="13.8" thickBot="1" x14ac:dyDescent="0.3">
      <c r="A27" s="55" t="s">
        <v>91</v>
      </c>
      <c r="B27" s="56" t="str">
        <f t="shared" si="5"/>
        <v/>
      </c>
      <c r="C27" s="149"/>
      <c r="D27" s="74">
        <v>0</v>
      </c>
      <c r="E27" s="57"/>
      <c r="F27" s="74"/>
      <c r="G27" s="74"/>
      <c r="H27" s="74"/>
      <c r="I27" s="74"/>
      <c r="J27" s="74">
        <v>0</v>
      </c>
      <c r="K27" s="74">
        <f>SUM(K24:K26)</f>
        <v>19</v>
      </c>
      <c r="L27" s="74">
        <f>SUM(L24:L26)</f>
        <v>121</v>
      </c>
      <c r="M27" s="74">
        <v>0</v>
      </c>
      <c r="N27" s="74">
        <f>SUM(N26)</f>
        <v>0</v>
      </c>
      <c r="O27" s="74">
        <f>SUM(O24:O26)</f>
        <v>72</v>
      </c>
      <c r="P27" s="74">
        <f>SUM(P24:P26)</f>
        <v>0</v>
      </c>
      <c r="Q27" s="74">
        <v>0</v>
      </c>
      <c r="R27" s="74">
        <f>SUM(R24:R26)</f>
        <v>0</v>
      </c>
      <c r="S27" s="74">
        <v>0</v>
      </c>
      <c r="T27" s="74">
        <v>0</v>
      </c>
      <c r="U27" s="74">
        <v>0</v>
      </c>
      <c r="V27" s="74">
        <f>SUM(V24:V26)</f>
        <v>0</v>
      </c>
      <c r="W27" s="58">
        <f>SUM(W24:W26)</f>
        <v>0</v>
      </c>
      <c r="X27" s="62">
        <f>SUM(X24:X26)</f>
        <v>0</v>
      </c>
    </row>
    <row r="28" spans="1:24" s="46" customFormat="1" x14ac:dyDescent="0.25"/>
    <row r="29" spans="1:24" s="46" customFormat="1" x14ac:dyDescent="0.25">
      <c r="A29"/>
      <c r="B29"/>
      <c r="C29"/>
      <c r="D29"/>
      <c r="E29"/>
    </row>
    <row r="30" spans="1:24" s="46" customFormat="1" x14ac:dyDescent="0.25">
      <c r="A30"/>
      <c r="B30"/>
      <c r="C30"/>
      <c r="D30"/>
      <c r="E30"/>
    </row>
  </sheetData>
  <conditionalFormatting sqref="E1">
    <cfRule type="expression" dxfId="18" priority="2">
      <formula>ISBLANK(XFD1)=FALSE</formula>
    </cfRule>
  </conditionalFormatting>
  <conditionalFormatting sqref="E23">
    <cfRule type="expression" dxfId="17" priority="1">
      <formula>ISBLANK(XFD23)=FALSE</formula>
    </cfRule>
  </conditionalFormatting>
  <pageMargins left="0.75" right="0.75" top="1" bottom="1" header="0.5" footer="0.5"/>
  <pageSetup paperSize="9" scale="66" fitToHeight="3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56"/>
  <sheetViews>
    <sheetView zoomScaleNormal="100" workbookViewId="0"/>
  </sheetViews>
  <sheetFormatPr defaultColWidth="8.6640625" defaultRowHeight="13.2" x14ac:dyDescent="0.25"/>
  <cols>
    <col min="1" max="1" width="24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2" width="11.6640625" customWidth="1"/>
    <col min="13" max="13" width="12.109375" customWidth="1"/>
    <col min="14" max="21" width="10.6640625" customWidth="1"/>
  </cols>
  <sheetData>
    <row r="1" spans="1:22" ht="13.8" thickBot="1" x14ac:dyDescent="0.3">
      <c r="A1" s="38" t="s">
        <v>90</v>
      </c>
      <c r="B1" s="24" t="s">
        <v>169</v>
      </c>
      <c r="C1" s="114" t="s">
        <v>178</v>
      </c>
      <c r="D1" s="69" t="s">
        <v>170</v>
      </c>
      <c r="E1" s="116">
        <v>46113</v>
      </c>
      <c r="F1" s="99">
        <v>45748</v>
      </c>
      <c r="G1" s="99">
        <v>45383</v>
      </c>
      <c r="H1" s="99">
        <v>45017</v>
      </c>
      <c r="I1" s="99">
        <v>44652</v>
      </c>
      <c r="J1" s="99">
        <v>44287</v>
      </c>
      <c r="K1" s="99">
        <v>43922</v>
      </c>
      <c r="L1" s="99">
        <v>43556</v>
      </c>
      <c r="M1" s="99">
        <v>43191</v>
      </c>
      <c r="N1" s="25">
        <v>42826</v>
      </c>
      <c r="O1" s="25">
        <v>42461</v>
      </c>
      <c r="P1" s="25">
        <v>42095</v>
      </c>
      <c r="Q1" s="25">
        <v>41730</v>
      </c>
      <c r="R1" s="25">
        <v>41365</v>
      </c>
      <c r="S1" s="25">
        <v>41000</v>
      </c>
      <c r="T1" s="25">
        <v>40634</v>
      </c>
      <c r="U1" s="26">
        <v>40269</v>
      </c>
    </row>
    <row r="2" spans="1:22" x14ac:dyDescent="0.25">
      <c r="A2" s="39" t="s">
        <v>119</v>
      </c>
      <c r="B2" s="44">
        <f t="shared" ref="B2:B26" si="0">IFERROR(((E2-F2)/F2),"")</f>
        <v>-0.16513302927577966</v>
      </c>
      <c r="C2" s="107">
        <v>-558.59860000000026</v>
      </c>
      <c r="D2" s="37">
        <v>-1281.3230000000003</v>
      </c>
      <c r="E2" s="112">
        <v>3617.8591999999999</v>
      </c>
      <c r="F2" s="37">
        <v>4333.4558999999999</v>
      </c>
      <c r="G2" s="37">
        <v>3243</v>
      </c>
      <c r="H2" s="37">
        <v>4288</v>
      </c>
      <c r="I2" s="37">
        <v>1826</v>
      </c>
      <c r="J2" s="37">
        <v>2002</v>
      </c>
      <c r="K2" s="37">
        <v>3204</v>
      </c>
      <c r="L2" s="37">
        <v>2389</v>
      </c>
      <c r="M2" s="37">
        <v>1367</v>
      </c>
      <c r="N2" s="90">
        <v>4481</v>
      </c>
      <c r="O2" s="90">
        <v>3650</v>
      </c>
      <c r="P2" s="90">
        <v>5089</v>
      </c>
      <c r="Q2" s="90">
        <v>9919</v>
      </c>
      <c r="R2" s="90">
        <v>4061</v>
      </c>
      <c r="S2" s="90">
        <v>7705</v>
      </c>
      <c r="T2" s="90">
        <v>5121</v>
      </c>
      <c r="U2" s="84">
        <v>4681</v>
      </c>
    </row>
    <row r="3" spans="1:22" x14ac:dyDescent="0.25">
      <c r="A3" s="39" t="s">
        <v>124</v>
      </c>
      <c r="B3" s="44">
        <f t="shared" si="0"/>
        <v>0.37080147053942453</v>
      </c>
      <c r="C3" s="107">
        <v>-5703.9748999999993</v>
      </c>
      <c r="D3" s="37">
        <v>-5882.8832999999995</v>
      </c>
      <c r="E3" s="112">
        <v>11667.300499999999</v>
      </c>
      <c r="F3" s="37">
        <v>8511.2985000000008</v>
      </c>
      <c r="G3" s="37">
        <v>13965</v>
      </c>
      <c r="H3" s="37">
        <v>7239</v>
      </c>
      <c r="I3" s="37">
        <v>16045</v>
      </c>
      <c r="J3" s="37">
        <v>8082</v>
      </c>
      <c r="K3" s="37">
        <v>13489</v>
      </c>
      <c r="L3" s="37">
        <v>11055</v>
      </c>
      <c r="M3" s="37">
        <v>8107</v>
      </c>
      <c r="N3" s="90">
        <v>10731</v>
      </c>
      <c r="O3" s="90">
        <v>12003</v>
      </c>
      <c r="P3" s="90">
        <v>8836</v>
      </c>
      <c r="Q3" s="90">
        <v>16819</v>
      </c>
      <c r="R3" s="90">
        <v>6814</v>
      </c>
      <c r="S3" s="90">
        <v>10585</v>
      </c>
      <c r="T3" s="90">
        <v>10613</v>
      </c>
      <c r="U3" s="84">
        <v>11463</v>
      </c>
    </row>
    <row r="4" spans="1:22" x14ac:dyDescent="0.25">
      <c r="A4" s="39" t="s">
        <v>4</v>
      </c>
      <c r="B4" s="44">
        <f t="shared" si="0"/>
        <v>0.91341972766685631</v>
      </c>
      <c r="C4" s="107">
        <v>-1248.8679999999999</v>
      </c>
      <c r="D4" s="37">
        <v>-991.18759999999997</v>
      </c>
      <c r="E4" s="112">
        <v>593.08090000000004</v>
      </c>
      <c r="F4" s="37">
        <v>309.95859999999999</v>
      </c>
      <c r="G4" s="37">
        <v>60</v>
      </c>
      <c r="H4" s="37">
        <v>575</v>
      </c>
      <c r="I4" s="37">
        <v>216</v>
      </c>
      <c r="J4" s="37">
        <v>50</v>
      </c>
      <c r="K4" s="37">
        <v>239</v>
      </c>
      <c r="L4" s="37">
        <v>495</v>
      </c>
      <c r="M4" s="37">
        <v>111</v>
      </c>
      <c r="N4" s="37">
        <v>355</v>
      </c>
      <c r="O4" s="37">
        <v>321</v>
      </c>
      <c r="P4" s="37">
        <v>466</v>
      </c>
      <c r="Q4" s="37">
        <v>474</v>
      </c>
      <c r="R4" s="37">
        <v>0</v>
      </c>
      <c r="S4" s="37">
        <v>1823</v>
      </c>
      <c r="T4" s="37">
        <v>618</v>
      </c>
      <c r="U4" s="59">
        <v>1313</v>
      </c>
    </row>
    <row r="5" spans="1:22" x14ac:dyDescent="0.25">
      <c r="A5" s="39" t="s">
        <v>11</v>
      </c>
      <c r="B5" s="44">
        <f t="shared" si="0"/>
        <v>-0.19216967921900582</v>
      </c>
      <c r="C5" s="107">
        <v>-2447.0617000000002</v>
      </c>
      <c r="D5" s="37">
        <v>-1748.3055999999997</v>
      </c>
      <c r="E5" s="112">
        <v>6303.6306999999997</v>
      </c>
      <c r="F5" s="37">
        <v>7803.1617999999999</v>
      </c>
      <c r="G5" s="37">
        <v>6578</v>
      </c>
      <c r="H5" s="37">
        <v>4862</v>
      </c>
      <c r="I5" s="37">
        <v>11303</v>
      </c>
      <c r="J5" s="37">
        <v>7434</v>
      </c>
      <c r="K5" s="37">
        <v>13643</v>
      </c>
      <c r="L5" s="37">
        <v>12526</v>
      </c>
      <c r="M5" s="37">
        <v>6837</v>
      </c>
      <c r="N5" s="37">
        <v>9657</v>
      </c>
      <c r="O5" s="37">
        <v>9282</v>
      </c>
      <c r="P5" s="37">
        <v>6854</v>
      </c>
      <c r="Q5" s="37">
        <v>17116</v>
      </c>
      <c r="R5" s="37">
        <v>3480</v>
      </c>
      <c r="S5" s="37">
        <v>17539</v>
      </c>
      <c r="T5" s="37">
        <v>13383</v>
      </c>
      <c r="U5" s="59">
        <v>23892</v>
      </c>
    </row>
    <row r="6" spans="1:22" x14ac:dyDescent="0.25">
      <c r="A6" s="39" t="s">
        <v>28</v>
      </c>
      <c r="B6" s="44" t="str">
        <f t="shared" si="0"/>
        <v/>
      </c>
      <c r="C6" s="107">
        <v>0</v>
      </c>
      <c r="D6" s="37">
        <v>0</v>
      </c>
      <c r="E6" s="112"/>
      <c r="F6" s="37"/>
      <c r="G6" s="37"/>
      <c r="H6" s="37"/>
      <c r="I6" s="37"/>
      <c r="J6" s="37"/>
      <c r="K6" s="37">
        <v>0</v>
      </c>
      <c r="L6" s="37"/>
      <c r="M6" s="37"/>
      <c r="N6" s="37"/>
      <c r="O6" s="37"/>
      <c r="P6" s="37"/>
      <c r="Q6" s="37"/>
      <c r="R6" s="37"/>
      <c r="S6" s="37">
        <v>851</v>
      </c>
      <c r="T6" s="37">
        <v>880</v>
      </c>
      <c r="U6" s="59">
        <v>1190</v>
      </c>
    </row>
    <row r="7" spans="1:22" x14ac:dyDescent="0.25">
      <c r="A7" s="39" t="s">
        <v>149</v>
      </c>
      <c r="B7" s="44">
        <f t="shared" si="0"/>
        <v>-9.8997594435041039E-2</v>
      </c>
      <c r="C7" s="107">
        <v>-81.238699999999881</v>
      </c>
      <c r="D7" s="37">
        <v>-1542.5487000000003</v>
      </c>
      <c r="E7" s="112">
        <v>5136.3054000000002</v>
      </c>
      <c r="F7" s="37">
        <v>5700.6566999999995</v>
      </c>
      <c r="G7" s="37">
        <v>3258</v>
      </c>
      <c r="H7" s="37">
        <v>896</v>
      </c>
      <c r="I7" s="37">
        <v>1541</v>
      </c>
      <c r="J7" s="37">
        <v>2617</v>
      </c>
      <c r="K7" s="37">
        <v>3136</v>
      </c>
      <c r="L7" s="37">
        <v>3610</v>
      </c>
      <c r="M7" s="37">
        <v>2669</v>
      </c>
      <c r="N7" s="37">
        <v>3257</v>
      </c>
      <c r="O7" s="37">
        <v>2865</v>
      </c>
      <c r="P7" s="37">
        <v>1920</v>
      </c>
      <c r="Q7" s="37">
        <v>1145</v>
      </c>
      <c r="R7" s="37">
        <v>987</v>
      </c>
      <c r="S7" s="37">
        <v>1591</v>
      </c>
      <c r="T7" s="37">
        <v>1556</v>
      </c>
      <c r="U7" s="59">
        <v>5</v>
      </c>
    </row>
    <row r="8" spans="1:22" x14ac:dyDescent="0.25">
      <c r="A8" s="39" t="s">
        <v>60</v>
      </c>
      <c r="B8" s="44">
        <f t="shared" si="0"/>
        <v>0.35099776241397512</v>
      </c>
      <c r="C8" s="107">
        <v>-28253.046199999997</v>
      </c>
      <c r="D8" s="37">
        <v>-27474.856</v>
      </c>
      <c r="E8" s="112">
        <v>77093.391300000003</v>
      </c>
      <c r="F8" s="37">
        <v>57064.040699999998</v>
      </c>
      <c r="G8" s="37">
        <v>52089</v>
      </c>
      <c r="H8" s="37">
        <v>45507</v>
      </c>
      <c r="I8" s="37">
        <v>31811</v>
      </c>
      <c r="J8" s="37">
        <v>37550</v>
      </c>
      <c r="K8" s="37">
        <v>36477</v>
      </c>
      <c r="L8" s="37">
        <v>35323</v>
      </c>
      <c r="M8" s="37">
        <v>29855</v>
      </c>
      <c r="N8" s="37">
        <v>32441</v>
      </c>
      <c r="O8" s="37">
        <v>31147</v>
      </c>
      <c r="P8" s="37">
        <v>26727</v>
      </c>
      <c r="Q8" s="37">
        <v>26910</v>
      </c>
      <c r="R8" s="37">
        <v>12737</v>
      </c>
      <c r="S8" s="37">
        <v>21999</v>
      </c>
      <c r="T8" s="37">
        <v>19780</v>
      </c>
      <c r="U8" s="59">
        <v>19641</v>
      </c>
    </row>
    <row r="9" spans="1:22" x14ac:dyDescent="0.25">
      <c r="A9" s="39" t="s">
        <v>2</v>
      </c>
      <c r="B9" s="44">
        <f t="shared" si="0"/>
        <v>4.5935815284585502</v>
      </c>
      <c r="C9" s="107">
        <v>-322.82450000000006</v>
      </c>
      <c r="D9" s="37">
        <v>-195.17770000000002</v>
      </c>
      <c r="E9" s="112">
        <v>534.75869999999998</v>
      </c>
      <c r="F9" s="37">
        <v>95.602199999999996</v>
      </c>
      <c r="G9" s="37">
        <v>169</v>
      </c>
      <c r="H9" s="37">
        <v>124</v>
      </c>
      <c r="I9" s="37">
        <v>232</v>
      </c>
      <c r="J9" s="37">
        <v>243</v>
      </c>
      <c r="K9" s="37">
        <v>438</v>
      </c>
      <c r="L9" s="37">
        <v>390</v>
      </c>
      <c r="M9" s="37">
        <v>156</v>
      </c>
      <c r="N9" s="37">
        <v>332</v>
      </c>
      <c r="O9" s="37">
        <v>164</v>
      </c>
      <c r="P9" s="37">
        <v>180</v>
      </c>
      <c r="Q9" s="37">
        <v>205</v>
      </c>
      <c r="R9" s="37">
        <v>340</v>
      </c>
      <c r="S9" s="37">
        <v>240</v>
      </c>
      <c r="T9" s="37">
        <v>456</v>
      </c>
      <c r="U9" s="59">
        <v>288</v>
      </c>
    </row>
    <row r="10" spans="1:22" x14ac:dyDescent="0.25">
      <c r="A10" s="39" t="s">
        <v>12</v>
      </c>
      <c r="B10" s="44">
        <f t="shared" si="0"/>
        <v>0.92575289015541029</v>
      </c>
      <c r="C10" s="107">
        <v>-2857.0455000000002</v>
      </c>
      <c r="D10" s="37">
        <v>-4425.6306000000004</v>
      </c>
      <c r="E10" s="112">
        <v>9631.7615000000005</v>
      </c>
      <c r="F10" s="37">
        <v>5001.5563000000002</v>
      </c>
      <c r="G10" s="37">
        <v>7020</v>
      </c>
      <c r="H10" s="37">
        <v>3226</v>
      </c>
      <c r="I10" s="37">
        <v>16024</v>
      </c>
      <c r="J10" s="37">
        <v>4670</v>
      </c>
      <c r="K10" s="37">
        <v>15553</v>
      </c>
      <c r="L10" s="37">
        <v>9067</v>
      </c>
      <c r="M10" s="37">
        <v>10232</v>
      </c>
      <c r="N10" s="37">
        <v>6641</v>
      </c>
      <c r="O10" s="37">
        <v>7783</v>
      </c>
      <c r="P10" s="37">
        <v>4763</v>
      </c>
      <c r="Q10" s="37">
        <v>14021</v>
      </c>
      <c r="R10" s="37">
        <v>5643</v>
      </c>
      <c r="S10" s="37">
        <v>8962</v>
      </c>
      <c r="T10" s="37">
        <v>10853</v>
      </c>
      <c r="U10" s="59">
        <v>8033</v>
      </c>
    </row>
    <row r="11" spans="1:22" x14ac:dyDescent="0.25">
      <c r="A11" s="39" t="s">
        <v>9</v>
      </c>
      <c r="B11" s="44">
        <f t="shared" si="0"/>
        <v>-0.26658760910452928</v>
      </c>
      <c r="C11" s="107">
        <v>-3907.6688999999988</v>
      </c>
      <c r="D11" s="37">
        <v>-14629.162500000002</v>
      </c>
      <c r="E11" s="112">
        <v>16306.6988</v>
      </c>
      <c r="F11" s="37">
        <v>22234.0105</v>
      </c>
      <c r="G11" s="37">
        <v>24326</v>
      </c>
      <c r="H11" s="37">
        <v>23853</v>
      </c>
      <c r="I11" s="37">
        <v>35760</v>
      </c>
      <c r="J11" s="37">
        <v>32305</v>
      </c>
      <c r="K11" s="37">
        <v>32736</v>
      </c>
      <c r="L11" s="37">
        <v>39505</v>
      </c>
      <c r="M11" s="37">
        <v>18601</v>
      </c>
      <c r="N11" s="37">
        <v>17921</v>
      </c>
      <c r="O11" s="37">
        <v>11011</v>
      </c>
      <c r="P11" s="37">
        <v>13880</v>
      </c>
      <c r="Q11" s="37">
        <v>13303</v>
      </c>
      <c r="R11" s="37">
        <v>7253</v>
      </c>
      <c r="S11" s="37">
        <v>9652</v>
      </c>
      <c r="T11" s="37">
        <v>11214</v>
      </c>
      <c r="U11" s="59">
        <v>6833</v>
      </c>
    </row>
    <row r="12" spans="1:22" x14ac:dyDescent="0.25">
      <c r="A12" s="39" t="s">
        <v>3</v>
      </c>
      <c r="B12" s="44">
        <f t="shared" si="0"/>
        <v>-0.15117712195898619</v>
      </c>
      <c r="C12" s="107">
        <v>-17668.435700000002</v>
      </c>
      <c r="D12" s="37">
        <v>-17426.195300000007</v>
      </c>
      <c r="E12" s="112">
        <v>87467.452999999994</v>
      </c>
      <c r="F12" s="37">
        <v>103045.5885</v>
      </c>
      <c r="G12" s="37">
        <v>101621</v>
      </c>
      <c r="H12" s="37">
        <v>79134</v>
      </c>
      <c r="I12" s="37">
        <v>90266</v>
      </c>
      <c r="J12" s="37">
        <v>75402</v>
      </c>
      <c r="K12" s="37">
        <v>127906</v>
      </c>
      <c r="L12" s="37">
        <v>115089</v>
      </c>
      <c r="M12" s="37">
        <v>107122</v>
      </c>
      <c r="N12" s="37">
        <v>125657</v>
      </c>
      <c r="O12" s="37">
        <v>125061</v>
      </c>
      <c r="P12" s="37">
        <v>123469</v>
      </c>
      <c r="Q12" s="37">
        <v>151601</v>
      </c>
      <c r="R12" s="37">
        <v>64896</v>
      </c>
      <c r="S12" s="37">
        <v>122884</v>
      </c>
      <c r="T12" s="37">
        <v>128701</v>
      </c>
      <c r="U12" s="59">
        <v>142950</v>
      </c>
    </row>
    <row r="13" spans="1:22" x14ac:dyDescent="0.25">
      <c r="A13" s="39" t="s">
        <v>135</v>
      </c>
      <c r="B13" s="44">
        <f t="shared" si="0"/>
        <v>-0.11140912294579759</v>
      </c>
      <c r="C13" s="107">
        <v>-553.34860000000003</v>
      </c>
      <c r="D13" s="37">
        <v>-629.21099999999979</v>
      </c>
      <c r="E13" s="112">
        <v>1968.0413000000001</v>
      </c>
      <c r="F13" s="37">
        <v>2214.7890000000002</v>
      </c>
      <c r="G13" s="37">
        <v>1810</v>
      </c>
      <c r="H13" s="37">
        <v>1294</v>
      </c>
      <c r="I13" s="37">
        <v>1793</v>
      </c>
      <c r="J13" s="37">
        <v>1581</v>
      </c>
      <c r="K13" s="37">
        <v>1898</v>
      </c>
      <c r="L13" s="37">
        <v>1256</v>
      </c>
      <c r="M13" s="37">
        <v>916</v>
      </c>
      <c r="N13" s="37">
        <v>937</v>
      </c>
      <c r="O13" s="37">
        <v>1041</v>
      </c>
      <c r="P13" s="37">
        <v>1266</v>
      </c>
      <c r="Q13" s="37">
        <v>1550</v>
      </c>
      <c r="R13" s="37">
        <v>1151</v>
      </c>
      <c r="S13" s="37">
        <v>1255</v>
      </c>
      <c r="T13" s="37">
        <v>1342</v>
      </c>
      <c r="U13" s="59">
        <v>1312</v>
      </c>
    </row>
    <row r="14" spans="1:22" x14ac:dyDescent="0.25">
      <c r="A14" s="39" t="s">
        <v>17</v>
      </c>
      <c r="B14" s="44">
        <f t="shared" si="0"/>
        <v>0.15973364385589767</v>
      </c>
      <c r="C14" s="107">
        <v>-7329.6208999999981</v>
      </c>
      <c r="D14" s="37">
        <v>-8237.3653000000013</v>
      </c>
      <c r="E14" s="112">
        <v>24345.789700000001</v>
      </c>
      <c r="F14" s="37">
        <v>20992.57</v>
      </c>
      <c r="G14" s="37">
        <v>21230</v>
      </c>
      <c r="H14" s="37">
        <v>24460</v>
      </c>
      <c r="I14" s="37">
        <v>29256</v>
      </c>
      <c r="J14" s="37">
        <v>32652</v>
      </c>
      <c r="K14" s="37">
        <v>30582</v>
      </c>
      <c r="L14" s="37">
        <v>30581</v>
      </c>
      <c r="M14" s="37">
        <v>32645</v>
      </c>
      <c r="N14" s="37">
        <v>21723</v>
      </c>
      <c r="O14" s="37">
        <v>36609</v>
      </c>
      <c r="P14" s="37">
        <v>27334</v>
      </c>
      <c r="Q14" s="37">
        <v>36919</v>
      </c>
      <c r="R14" s="37">
        <v>19951</v>
      </c>
      <c r="S14" s="37">
        <v>23465</v>
      </c>
      <c r="T14" s="37">
        <v>18323</v>
      </c>
      <c r="U14" s="59">
        <v>24187</v>
      </c>
    </row>
    <row r="15" spans="1:22" x14ac:dyDescent="0.25">
      <c r="A15" s="39" t="s">
        <v>127</v>
      </c>
      <c r="B15" s="44">
        <f t="shared" si="0"/>
        <v>0.4149127093155493</v>
      </c>
      <c r="C15" s="107">
        <v>-512.89750000000004</v>
      </c>
      <c r="D15" s="37">
        <v>-783.06029999999998</v>
      </c>
      <c r="E15" s="112">
        <v>1444.1025</v>
      </c>
      <c r="F15" s="37">
        <v>1020.6301</v>
      </c>
      <c r="G15" s="37">
        <v>3676</v>
      </c>
      <c r="H15" s="37">
        <v>3386</v>
      </c>
      <c r="I15" s="37">
        <v>5414</v>
      </c>
      <c r="J15" s="37">
        <v>253</v>
      </c>
      <c r="K15" s="37">
        <v>3131</v>
      </c>
      <c r="L15" s="37">
        <v>914</v>
      </c>
      <c r="M15" s="37">
        <v>763</v>
      </c>
      <c r="N15" s="37">
        <v>1055</v>
      </c>
      <c r="O15" s="37">
        <v>629</v>
      </c>
      <c r="P15" s="37">
        <v>3153</v>
      </c>
      <c r="Q15" s="37">
        <v>2251</v>
      </c>
      <c r="R15" s="37">
        <v>939</v>
      </c>
      <c r="S15" s="37">
        <v>427</v>
      </c>
      <c r="T15" s="37">
        <v>723</v>
      </c>
      <c r="U15" s="59">
        <v>128</v>
      </c>
    </row>
    <row r="16" spans="1:22" x14ac:dyDescent="0.25">
      <c r="A16" s="39" t="s">
        <v>10</v>
      </c>
      <c r="B16" s="44" t="str">
        <f t="shared" si="0"/>
        <v/>
      </c>
      <c r="C16" s="107">
        <v>0</v>
      </c>
      <c r="D16" s="37">
        <v>0</v>
      </c>
      <c r="E16" s="112"/>
      <c r="F16" s="37"/>
      <c r="G16" s="37"/>
      <c r="H16" s="37"/>
      <c r="I16" s="37">
        <v>325</v>
      </c>
      <c r="J16" s="37">
        <v>894</v>
      </c>
      <c r="K16" s="37">
        <v>932</v>
      </c>
      <c r="L16" s="37">
        <v>709</v>
      </c>
      <c r="M16" s="37">
        <v>333</v>
      </c>
      <c r="N16" s="37">
        <v>776</v>
      </c>
      <c r="O16" s="37">
        <v>616</v>
      </c>
      <c r="P16" s="37">
        <v>638</v>
      </c>
      <c r="Q16" s="37">
        <v>993</v>
      </c>
      <c r="R16" s="37">
        <v>641</v>
      </c>
      <c r="S16" s="37">
        <v>1169</v>
      </c>
      <c r="T16" s="37">
        <v>1225</v>
      </c>
      <c r="U16" s="59">
        <v>1772</v>
      </c>
      <c r="V16" s="1"/>
    </row>
    <row r="17" spans="1:22" x14ac:dyDescent="0.25">
      <c r="A17" s="39" t="s">
        <v>126</v>
      </c>
      <c r="B17" s="44">
        <f t="shared" si="0"/>
        <v>0.23205623121140742</v>
      </c>
      <c r="C17" s="107">
        <v>-3277.8862000000008</v>
      </c>
      <c r="D17" s="37">
        <v>-3052.9646000000012</v>
      </c>
      <c r="E17" s="112">
        <v>12127.712</v>
      </c>
      <c r="F17" s="37">
        <v>9843.4727999999996</v>
      </c>
      <c r="G17" s="37">
        <v>11045</v>
      </c>
      <c r="H17" s="37">
        <v>11831</v>
      </c>
      <c r="I17" s="37">
        <v>20193</v>
      </c>
      <c r="J17" s="37">
        <v>5444</v>
      </c>
      <c r="K17" s="37">
        <v>10481</v>
      </c>
      <c r="L17" s="37">
        <v>6321</v>
      </c>
      <c r="M17" s="37">
        <v>6462</v>
      </c>
      <c r="N17" s="37">
        <v>4123</v>
      </c>
      <c r="O17" s="37">
        <v>3494</v>
      </c>
      <c r="P17" s="37">
        <v>2995</v>
      </c>
      <c r="Q17" s="37">
        <v>2918</v>
      </c>
      <c r="R17" s="37">
        <v>1011</v>
      </c>
      <c r="S17" s="37">
        <v>1706</v>
      </c>
      <c r="T17" s="37">
        <v>2488</v>
      </c>
      <c r="U17" s="59">
        <v>6570</v>
      </c>
      <c r="V17" s="1"/>
    </row>
    <row r="18" spans="1:22" x14ac:dyDescent="0.25">
      <c r="A18" s="39" t="s">
        <v>26</v>
      </c>
      <c r="B18" s="44">
        <f t="shared" si="0"/>
        <v>4.7192674832905207E-2</v>
      </c>
      <c r="C18" s="107">
        <v>-822.05869999999959</v>
      </c>
      <c r="D18" s="37">
        <v>-1298.0722999999998</v>
      </c>
      <c r="E18" s="112">
        <v>14537.053</v>
      </c>
      <c r="F18" s="37">
        <v>13881.9277</v>
      </c>
      <c r="G18" s="37">
        <v>10295</v>
      </c>
      <c r="H18" s="37">
        <v>5520</v>
      </c>
      <c r="I18" s="37">
        <v>11922</v>
      </c>
      <c r="J18" s="37">
        <v>8080</v>
      </c>
      <c r="K18" s="37">
        <v>11500</v>
      </c>
      <c r="L18" s="37">
        <v>9649</v>
      </c>
      <c r="M18" s="37">
        <v>7229</v>
      </c>
      <c r="N18" s="37">
        <v>6497</v>
      </c>
      <c r="O18" s="37">
        <v>6327</v>
      </c>
      <c r="P18" s="37">
        <v>2945</v>
      </c>
      <c r="Q18" s="37">
        <v>5106</v>
      </c>
      <c r="R18" s="37">
        <v>1802</v>
      </c>
      <c r="S18" s="37">
        <v>4996</v>
      </c>
      <c r="T18" s="37">
        <v>5389</v>
      </c>
      <c r="U18" s="59">
        <v>7756</v>
      </c>
      <c r="V18" s="1"/>
    </row>
    <row r="19" spans="1:22" x14ac:dyDescent="0.25">
      <c r="A19" s="39" t="s">
        <v>118</v>
      </c>
      <c r="B19" s="44" t="str">
        <f t="shared" si="0"/>
        <v/>
      </c>
      <c r="C19" s="107">
        <v>0</v>
      </c>
      <c r="D19" s="37">
        <v>-14.0467</v>
      </c>
      <c r="E19" s="112"/>
      <c r="F19" s="37">
        <v>0</v>
      </c>
      <c r="G19" s="37">
        <v>19</v>
      </c>
      <c r="H19" s="37">
        <v>32</v>
      </c>
      <c r="I19" s="37">
        <v>22</v>
      </c>
      <c r="J19" s="37">
        <v>122</v>
      </c>
      <c r="K19" s="37">
        <v>153</v>
      </c>
      <c r="L19" s="37">
        <v>0</v>
      </c>
      <c r="M19" s="37">
        <v>0</v>
      </c>
      <c r="N19" s="37">
        <v>0</v>
      </c>
      <c r="O19" s="37">
        <v>11</v>
      </c>
      <c r="P19" s="37">
        <v>13</v>
      </c>
      <c r="Q19" s="37">
        <v>27</v>
      </c>
      <c r="R19" s="37">
        <v>2</v>
      </c>
      <c r="S19" s="37">
        <v>21</v>
      </c>
      <c r="T19" s="37">
        <v>58</v>
      </c>
      <c r="U19" s="59">
        <v>2</v>
      </c>
    </row>
    <row r="20" spans="1:22" x14ac:dyDescent="0.25">
      <c r="A20" s="39" t="s">
        <v>87</v>
      </c>
      <c r="B20" s="44">
        <f t="shared" si="0"/>
        <v>-2.8120708716339708E-2</v>
      </c>
      <c r="C20" s="107">
        <v>-3233.6885000000002</v>
      </c>
      <c r="D20" s="37">
        <v>-3657.5628999999999</v>
      </c>
      <c r="E20" s="112">
        <v>5678.8531000000003</v>
      </c>
      <c r="F20" s="37">
        <v>5843.1670999999997</v>
      </c>
      <c r="G20" s="37">
        <v>2874</v>
      </c>
      <c r="H20" s="37">
        <v>2407</v>
      </c>
      <c r="I20" s="37">
        <v>6976</v>
      </c>
      <c r="J20" s="37">
        <v>2022</v>
      </c>
      <c r="K20" s="37">
        <v>4638</v>
      </c>
      <c r="L20" s="37">
        <v>4719</v>
      </c>
      <c r="M20" s="37">
        <v>2336</v>
      </c>
      <c r="N20" s="37">
        <v>2795</v>
      </c>
      <c r="O20" s="37">
        <v>4188</v>
      </c>
      <c r="P20" s="37">
        <v>2688</v>
      </c>
      <c r="Q20" s="37">
        <v>10463</v>
      </c>
      <c r="R20" s="37">
        <v>1169</v>
      </c>
      <c r="S20" s="37">
        <v>7206</v>
      </c>
      <c r="T20" s="37">
        <v>6008</v>
      </c>
      <c r="U20" s="59">
        <v>6550</v>
      </c>
    </row>
    <row r="21" spans="1:22" x14ac:dyDescent="0.25">
      <c r="A21" s="39" t="s">
        <v>125</v>
      </c>
      <c r="B21" s="44">
        <f t="shared" si="0"/>
        <v>-0.1233131970266052</v>
      </c>
      <c r="C21" s="107">
        <v>-656.77909999999974</v>
      </c>
      <c r="D21" s="37">
        <v>-1981.6122</v>
      </c>
      <c r="E21" s="112">
        <v>3494.5468000000001</v>
      </c>
      <c r="F21" s="37">
        <v>3986.0835000000002</v>
      </c>
      <c r="G21" s="37">
        <v>3806</v>
      </c>
      <c r="H21" s="37">
        <v>3247</v>
      </c>
      <c r="I21" s="37">
        <v>5659</v>
      </c>
      <c r="J21" s="37">
        <v>5200</v>
      </c>
      <c r="K21" s="37">
        <v>9976</v>
      </c>
      <c r="L21" s="37">
        <v>7071</v>
      </c>
      <c r="M21" s="37">
        <v>5908</v>
      </c>
      <c r="N21" s="37">
        <v>5616</v>
      </c>
      <c r="O21" s="37">
        <v>4735</v>
      </c>
      <c r="P21" s="37">
        <v>2911</v>
      </c>
      <c r="Q21" s="37">
        <v>7500</v>
      </c>
      <c r="R21" s="37">
        <v>1570</v>
      </c>
      <c r="S21" s="37">
        <v>2340</v>
      </c>
      <c r="T21" s="37">
        <v>4278</v>
      </c>
      <c r="U21" s="59">
        <v>6595</v>
      </c>
    </row>
    <row r="22" spans="1:22" x14ac:dyDescent="0.25">
      <c r="A22" s="39" t="s">
        <v>114</v>
      </c>
      <c r="B22" s="44" t="str">
        <f t="shared" si="0"/>
        <v/>
      </c>
      <c r="C22" s="107">
        <v>0</v>
      </c>
      <c r="D22" s="37">
        <v>0</v>
      </c>
      <c r="E22" s="112"/>
      <c r="F22" s="37"/>
      <c r="G22" s="37"/>
      <c r="H22" s="37"/>
      <c r="I22" s="37">
        <v>233</v>
      </c>
      <c r="J22" s="37">
        <v>220</v>
      </c>
      <c r="K22" s="37">
        <v>668</v>
      </c>
      <c r="L22" s="37">
        <v>249</v>
      </c>
      <c r="M22" s="37">
        <v>87</v>
      </c>
      <c r="N22" s="37">
        <v>47</v>
      </c>
      <c r="O22" s="37">
        <v>276</v>
      </c>
      <c r="P22" s="37">
        <v>77</v>
      </c>
      <c r="Q22" s="37">
        <v>612</v>
      </c>
      <c r="R22" s="37">
        <v>47</v>
      </c>
      <c r="S22" s="37">
        <v>526</v>
      </c>
      <c r="T22" s="37">
        <v>110</v>
      </c>
      <c r="U22" s="59">
        <v>619</v>
      </c>
    </row>
    <row r="23" spans="1:22" x14ac:dyDescent="0.25">
      <c r="A23" s="39" t="s">
        <v>128</v>
      </c>
      <c r="B23" s="44" t="str">
        <f t="shared" si="0"/>
        <v/>
      </c>
      <c r="C23" s="107">
        <v>0</v>
      </c>
      <c r="D23" s="37">
        <v>0</v>
      </c>
      <c r="E23" s="112"/>
      <c r="F23" s="37"/>
      <c r="G23" s="37"/>
      <c r="H23" s="37"/>
      <c r="I23" s="37">
        <v>10232</v>
      </c>
      <c r="J23" s="37">
        <v>7403</v>
      </c>
      <c r="K23" s="37">
        <v>8816</v>
      </c>
      <c r="L23" s="37">
        <v>7145</v>
      </c>
      <c r="M23" s="37">
        <v>5320</v>
      </c>
      <c r="N23" s="37">
        <v>4816</v>
      </c>
      <c r="O23" s="37">
        <v>4121</v>
      </c>
      <c r="P23" s="37">
        <v>5445</v>
      </c>
      <c r="Q23" s="37">
        <v>4683</v>
      </c>
      <c r="R23" s="37">
        <v>2855</v>
      </c>
      <c r="S23" s="37">
        <v>4507</v>
      </c>
      <c r="T23" s="37">
        <v>1341</v>
      </c>
      <c r="U23" s="59">
        <v>1197</v>
      </c>
    </row>
    <row r="24" spans="1:22" x14ac:dyDescent="0.25">
      <c r="A24" s="39" t="s">
        <v>123</v>
      </c>
      <c r="B24" s="44">
        <f t="shared" si="0"/>
        <v>1.923288098206579</v>
      </c>
      <c r="C24" s="107">
        <v>-211.58879999999999</v>
      </c>
      <c r="D24" s="37">
        <v>-240.73259999999993</v>
      </c>
      <c r="E24" s="112">
        <v>1048.5507</v>
      </c>
      <c r="F24" s="37">
        <v>358.68880000000001</v>
      </c>
      <c r="G24" s="37">
        <v>340</v>
      </c>
      <c r="H24" s="37">
        <v>1248</v>
      </c>
      <c r="I24" s="37">
        <v>1418</v>
      </c>
      <c r="J24" s="37">
        <v>727</v>
      </c>
      <c r="K24" s="37">
        <v>1109</v>
      </c>
      <c r="L24" s="37">
        <v>1492</v>
      </c>
      <c r="M24" s="37">
        <v>900</v>
      </c>
      <c r="N24" s="37">
        <v>2103</v>
      </c>
      <c r="O24" s="37">
        <v>1433</v>
      </c>
      <c r="P24" s="37">
        <v>964</v>
      </c>
      <c r="Q24" s="37">
        <v>2199</v>
      </c>
      <c r="R24" s="37">
        <v>1136</v>
      </c>
      <c r="S24" s="37">
        <v>2161</v>
      </c>
      <c r="T24" s="37">
        <v>1060</v>
      </c>
      <c r="U24" s="59">
        <v>1938</v>
      </c>
    </row>
    <row r="25" spans="1:22" ht="13.8" thickBot="1" x14ac:dyDescent="0.3">
      <c r="A25" s="40" t="s">
        <v>6</v>
      </c>
      <c r="B25" s="45">
        <f t="shared" si="0"/>
        <v>0.30301113950194208</v>
      </c>
      <c r="C25" s="108">
        <v>-22538.599799999989</v>
      </c>
      <c r="D25" s="64">
        <v>-12246.877099999998</v>
      </c>
      <c r="E25" s="42">
        <v>54240.719900000004</v>
      </c>
      <c r="F25" s="37">
        <v>41627.211199999998</v>
      </c>
      <c r="G25" s="37">
        <v>34027</v>
      </c>
      <c r="H25" s="37">
        <v>32266</v>
      </c>
      <c r="I25" s="37">
        <v>7082</v>
      </c>
      <c r="J25" s="37">
        <v>9423</v>
      </c>
      <c r="K25" s="37">
        <v>5057</v>
      </c>
      <c r="L25" s="37">
        <v>5454</v>
      </c>
      <c r="M25" s="37">
        <v>1969</v>
      </c>
      <c r="N25" s="37">
        <v>1752</v>
      </c>
      <c r="O25" s="37">
        <v>991</v>
      </c>
      <c r="P25" s="37">
        <v>1736</v>
      </c>
      <c r="Q25" s="37">
        <v>4218</v>
      </c>
      <c r="R25" s="37">
        <v>3302</v>
      </c>
      <c r="S25" s="37">
        <v>1060</v>
      </c>
      <c r="T25" s="37">
        <v>4609</v>
      </c>
      <c r="U25" s="59">
        <v>6774</v>
      </c>
    </row>
    <row r="26" spans="1:22" ht="13.8" thickBot="1" x14ac:dyDescent="0.3">
      <c r="A26" s="38" t="s">
        <v>91</v>
      </c>
      <c r="B26" s="68">
        <f t="shared" si="0"/>
        <v>7.4457252051462697E-2</v>
      </c>
      <c r="C26" s="118">
        <v>-102185.23079999996</v>
      </c>
      <c r="D26" s="145">
        <v>-107738.77529999992</v>
      </c>
      <c r="E26" s="146">
        <f t="shared" ref="E26" si="1">SUM(E2:E25)</f>
        <v>337237.60900000005</v>
      </c>
      <c r="F26" s="43">
        <f t="shared" ref="F26:O26" si="2">SUM(F2:F25)</f>
        <v>313867.86990000005</v>
      </c>
      <c r="G26" s="43">
        <f t="shared" si="2"/>
        <v>301451</v>
      </c>
      <c r="H26" s="43">
        <f t="shared" si="2"/>
        <v>255395</v>
      </c>
      <c r="I26" s="43">
        <f t="shared" si="2"/>
        <v>305549</v>
      </c>
      <c r="J26" s="43">
        <f t="shared" si="2"/>
        <v>244376</v>
      </c>
      <c r="K26" s="43">
        <f t="shared" si="2"/>
        <v>335762</v>
      </c>
      <c r="L26" s="43">
        <f t="shared" si="2"/>
        <v>305009</v>
      </c>
      <c r="M26" s="97">
        <f t="shared" si="2"/>
        <v>249925</v>
      </c>
      <c r="N26" s="43">
        <f t="shared" si="2"/>
        <v>263713</v>
      </c>
      <c r="O26" s="43">
        <f t="shared" si="2"/>
        <v>267758</v>
      </c>
      <c r="P26" s="43">
        <f t="shared" ref="P26:U26" si="3">SUM(P2:P25)</f>
        <v>244349</v>
      </c>
      <c r="Q26" s="43">
        <f t="shared" si="3"/>
        <v>330952</v>
      </c>
      <c r="R26" s="43">
        <f t="shared" si="3"/>
        <v>141787</v>
      </c>
      <c r="S26" s="43">
        <f t="shared" si="3"/>
        <v>254670</v>
      </c>
      <c r="T26" s="43">
        <f t="shared" si="3"/>
        <v>250129</v>
      </c>
      <c r="U26" s="79">
        <f t="shared" si="3"/>
        <v>285689</v>
      </c>
    </row>
    <row r="28" spans="1:22" s="46" customFormat="1" ht="13.8" thickBot="1" x14ac:dyDescent="0.3">
      <c r="A28" s="67"/>
    </row>
    <row r="29" spans="1:22" s="46" customFormat="1" ht="13.8" thickBot="1" x14ac:dyDescent="0.3">
      <c r="A29" s="38" t="s">
        <v>23</v>
      </c>
      <c r="B29" s="24" t="s">
        <v>169</v>
      </c>
      <c r="C29" s="114" t="s">
        <v>178</v>
      </c>
      <c r="D29" s="69" t="s">
        <v>170</v>
      </c>
      <c r="E29" s="116">
        <v>46113</v>
      </c>
      <c r="F29" s="99">
        <v>45748</v>
      </c>
      <c r="G29" s="99">
        <v>45383</v>
      </c>
      <c r="H29" s="99">
        <v>45017</v>
      </c>
      <c r="I29" s="99">
        <v>44652</v>
      </c>
      <c r="J29" s="99">
        <v>44287</v>
      </c>
      <c r="K29" s="99">
        <v>43922</v>
      </c>
      <c r="L29" s="99">
        <v>43556</v>
      </c>
      <c r="M29" s="99">
        <v>43191</v>
      </c>
      <c r="N29" s="25">
        <v>42826</v>
      </c>
      <c r="O29" s="25">
        <v>42461</v>
      </c>
      <c r="P29" s="25">
        <v>42095</v>
      </c>
      <c r="Q29" s="25">
        <v>41730</v>
      </c>
      <c r="R29" s="25">
        <v>41365</v>
      </c>
      <c r="S29" s="25">
        <v>41000</v>
      </c>
      <c r="T29" s="25">
        <v>40634</v>
      </c>
      <c r="U29" s="26">
        <v>40269</v>
      </c>
    </row>
    <row r="30" spans="1:22" x14ac:dyDescent="0.25">
      <c r="A30" s="48" t="s">
        <v>136</v>
      </c>
      <c r="B30" s="44">
        <f t="shared" ref="B30:B38" si="4">IFERROR(((E30-F30)/F30),"")</f>
        <v>0.65928954714038057</v>
      </c>
      <c r="C30" s="107">
        <v>-826.69890000000009</v>
      </c>
      <c r="D30" s="37">
        <v>-1115.2975999999999</v>
      </c>
      <c r="E30" s="112">
        <v>1854.7814000000001</v>
      </c>
      <c r="F30" s="37">
        <v>1117.8166000000001</v>
      </c>
      <c r="G30" s="37">
        <v>1007</v>
      </c>
      <c r="H30" s="37">
        <v>146</v>
      </c>
      <c r="I30" s="37">
        <v>80</v>
      </c>
      <c r="J30" s="37">
        <v>605</v>
      </c>
      <c r="K30" s="37">
        <v>179</v>
      </c>
      <c r="L30" s="37">
        <v>271</v>
      </c>
      <c r="M30" s="37">
        <v>477</v>
      </c>
      <c r="N30" s="90">
        <v>587</v>
      </c>
      <c r="O30" s="90">
        <v>143</v>
      </c>
      <c r="P30" s="90">
        <v>1440</v>
      </c>
      <c r="Q30" s="90">
        <v>1719</v>
      </c>
      <c r="R30" s="90">
        <v>34</v>
      </c>
      <c r="S30" s="90">
        <v>2282</v>
      </c>
      <c r="T30" s="90"/>
      <c r="U30" s="84"/>
    </row>
    <row r="31" spans="1:22" x14ac:dyDescent="0.25">
      <c r="A31" s="48" t="s">
        <v>137</v>
      </c>
      <c r="B31" s="44" t="str">
        <f t="shared" si="4"/>
        <v/>
      </c>
      <c r="C31" s="107">
        <v>0</v>
      </c>
      <c r="D31" s="37">
        <v>0</v>
      </c>
      <c r="E31" s="112"/>
      <c r="F31" s="37"/>
      <c r="G31" s="37"/>
      <c r="H31" s="37"/>
      <c r="I31" s="37"/>
      <c r="J31" s="37"/>
      <c r="K31" s="37"/>
      <c r="L31" s="37"/>
      <c r="M31" s="37"/>
      <c r="N31" s="90"/>
      <c r="O31" s="90">
        <v>0</v>
      </c>
      <c r="P31" s="90">
        <v>0</v>
      </c>
      <c r="Q31" s="90">
        <v>0</v>
      </c>
      <c r="R31" s="90">
        <v>0</v>
      </c>
      <c r="S31" s="90">
        <v>0</v>
      </c>
      <c r="T31" s="90"/>
      <c r="U31" s="84"/>
    </row>
    <row r="32" spans="1:22" x14ac:dyDescent="0.25">
      <c r="A32" s="48" t="s">
        <v>7</v>
      </c>
      <c r="B32" s="44">
        <f t="shared" si="4"/>
        <v>1.309565717270933</v>
      </c>
      <c r="C32" s="107">
        <v>-964.77009999999984</v>
      </c>
      <c r="D32" s="37">
        <v>-690.32579999999996</v>
      </c>
      <c r="E32" s="112">
        <v>669.33270000000005</v>
      </c>
      <c r="F32" s="37">
        <v>289.80889999999999</v>
      </c>
      <c r="G32" s="37">
        <v>341</v>
      </c>
      <c r="H32" s="37">
        <v>232</v>
      </c>
      <c r="I32" s="37">
        <v>271</v>
      </c>
      <c r="J32" s="37">
        <v>456</v>
      </c>
      <c r="K32" s="37">
        <v>659</v>
      </c>
      <c r="L32" s="37">
        <v>874</v>
      </c>
      <c r="M32" s="37">
        <v>766</v>
      </c>
      <c r="N32" s="37">
        <v>482</v>
      </c>
      <c r="O32" s="37">
        <v>478</v>
      </c>
      <c r="P32" s="37">
        <v>549</v>
      </c>
      <c r="Q32" s="37">
        <v>105</v>
      </c>
      <c r="R32" s="37">
        <v>171</v>
      </c>
      <c r="S32" s="37">
        <v>1254</v>
      </c>
      <c r="T32" s="37"/>
      <c r="U32" s="59"/>
    </row>
    <row r="33" spans="1:21" x14ac:dyDescent="0.25">
      <c r="A33" s="48" t="s">
        <v>92</v>
      </c>
      <c r="B33" s="44">
        <f t="shared" si="4"/>
        <v>-0.31090983178799431</v>
      </c>
      <c r="C33" s="107">
        <v>-60.901200000000003</v>
      </c>
      <c r="D33" s="37">
        <v>-42.903599999999997</v>
      </c>
      <c r="E33" s="112">
        <v>48.195999999999998</v>
      </c>
      <c r="F33" s="37">
        <v>69.941500000000005</v>
      </c>
      <c r="G33" s="37">
        <v>16</v>
      </c>
      <c r="H33" s="37">
        <v>10</v>
      </c>
      <c r="I33" s="37">
        <v>1</v>
      </c>
      <c r="J33" s="37">
        <v>8</v>
      </c>
      <c r="K33" s="37">
        <v>38</v>
      </c>
      <c r="L33" s="37">
        <v>230</v>
      </c>
      <c r="M33" s="37">
        <v>163</v>
      </c>
      <c r="N33" s="37">
        <v>50</v>
      </c>
      <c r="O33" s="37">
        <v>102</v>
      </c>
      <c r="P33" s="37">
        <v>39</v>
      </c>
      <c r="Q33" s="37">
        <v>11</v>
      </c>
      <c r="R33" s="37">
        <v>6</v>
      </c>
      <c r="S33" s="37">
        <v>139</v>
      </c>
      <c r="T33" s="37"/>
      <c r="U33" s="59"/>
    </row>
    <row r="34" spans="1:21" x14ac:dyDescent="0.25">
      <c r="A34" s="48" t="s">
        <v>138</v>
      </c>
      <c r="B34" s="44" t="str">
        <f t="shared" si="4"/>
        <v/>
      </c>
      <c r="C34" s="107">
        <v>0</v>
      </c>
      <c r="D34" s="37">
        <v>0</v>
      </c>
      <c r="E34" s="112"/>
      <c r="F34" s="37"/>
      <c r="G34" s="37"/>
      <c r="H34" s="37"/>
      <c r="I34" s="37"/>
      <c r="J34" s="37"/>
      <c r="K34" s="37">
        <v>0</v>
      </c>
      <c r="L34" s="37"/>
      <c r="M34" s="37"/>
      <c r="N34" s="37"/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/>
      <c r="U34" s="59"/>
    </row>
    <row r="35" spans="1:21" x14ac:dyDescent="0.25">
      <c r="A35" s="48" t="s">
        <v>139</v>
      </c>
      <c r="B35" s="44">
        <f t="shared" si="4"/>
        <v>0.28472593126234341</v>
      </c>
      <c r="C35" s="107">
        <v>-14.538399999999996</v>
      </c>
      <c r="D35" s="37">
        <v>-85.75569999999999</v>
      </c>
      <c r="E35" s="112">
        <v>134.4616</v>
      </c>
      <c r="F35" s="37">
        <v>104.6617</v>
      </c>
      <c r="G35" s="37">
        <v>13</v>
      </c>
      <c r="H35" s="37">
        <v>28</v>
      </c>
      <c r="I35" s="37">
        <v>18</v>
      </c>
      <c r="J35" s="37"/>
      <c r="K35" s="37">
        <v>19</v>
      </c>
      <c r="L35" s="37">
        <v>305</v>
      </c>
      <c r="M35" s="37">
        <v>65</v>
      </c>
      <c r="N35" s="37">
        <v>29</v>
      </c>
      <c r="O35" s="37">
        <v>94</v>
      </c>
      <c r="P35" s="37">
        <v>38</v>
      </c>
      <c r="Q35" s="37">
        <v>134</v>
      </c>
      <c r="R35" s="37">
        <v>23</v>
      </c>
      <c r="S35" s="37">
        <v>10</v>
      </c>
      <c r="T35" s="37"/>
      <c r="U35" s="59"/>
    </row>
    <row r="36" spans="1:21" x14ac:dyDescent="0.25">
      <c r="A36" s="48" t="s">
        <v>140</v>
      </c>
      <c r="B36" s="44" t="str">
        <f t="shared" si="4"/>
        <v/>
      </c>
      <c r="C36" s="107">
        <v>-94.736500000000007</v>
      </c>
      <c r="D36" s="37">
        <v>0</v>
      </c>
      <c r="E36" s="112"/>
      <c r="F36" s="37"/>
      <c r="G36" s="37"/>
      <c r="H36" s="37"/>
      <c r="I36" s="37"/>
      <c r="J36" s="37"/>
      <c r="K36" s="37">
        <v>27</v>
      </c>
      <c r="L36" s="37"/>
      <c r="M36" s="37"/>
      <c r="N36" s="37"/>
      <c r="O36" s="37">
        <v>0</v>
      </c>
      <c r="P36" s="37">
        <v>0</v>
      </c>
      <c r="Q36" s="37">
        <v>0</v>
      </c>
      <c r="R36" s="37">
        <v>0</v>
      </c>
      <c r="S36" s="37">
        <v>0</v>
      </c>
      <c r="T36" s="37"/>
      <c r="U36" s="59"/>
    </row>
    <row r="37" spans="1:21" ht="13.8" thickBot="1" x14ac:dyDescent="0.3">
      <c r="A37" s="51" t="s">
        <v>6</v>
      </c>
      <c r="B37" s="45">
        <f t="shared" si="4"/>
        <v>-0.74386037816556339</v>
      </c>
      <c r="C37" s="108">
        <v>-509.57359999999994</v>
      </c>
      <c r="D37" s="64">
        <v>-1490.9975000000002</v>
      </c>
      <c r="E37" s="42">
        <v>323.47649999999999</v>
      </c>
      <c r="F37" s="37">
        <v>1262.8913</v>
      </c>
      <c r="G37" s="37">
        <v>235</v>
      </c>
      <c r="H37" s="37">
        <v>329</v>
      </c>
      <c r="I37" s="37">
        <v>33</v>
      </c>
      <c r="J37" s="37">
        <v>214</v>
      </c>
      <c r="K37" s="37">
        <v>46</v>
      </c>
      <c r="L37" s="37">
        <v>209</v>
      </c>
      <c r="M37" s="37">
        <v>28</v>
      </c>
      <c r="N37" s="37">
        <v>90</v>
      </c>
      <c r="O37" s="37">
        <v>3</v>
      </c>
      <c r="P37" s="37">
        <v>2</v>
      </c>
      <c r="Q37" s="37">
        <v>87</v>
      </c>
      <c r="R37" s="37">
        <v>1</v>
      </c>
      <c r="S37" s="37">
        <v>10</v>
      </c>
      <c r="T37" s="37"/>
      <c r="U37" s="59"/>
    </row>
    <row r="38" spans="1:21" ht="13.8" thickBot="1" x14ac:dyDescent="0.3">
      <c r="A38" s="38" t="s">
        <v>91</v>
      </c>
      <c r="B38" s="68">
        <f t="shared" si="4"/>
        <v>6.5068679001237251E-2</v>
      </c>
      <c r="C38" s="118">
        <v>-2471.2186999999994</v>
      </c>
      <c r="D38" s="145">
        <v>-3425.2802000000001</v>
      </c>
      <c r="E38" s="146">
        <f t="shared" ref="E38" si="5">SUM(E30:E37)</f>
        <v>3030.2482</v>
      </c>
      <c r="F38" s="43">
        <f t="shared" ref="F38:M38" si="6">SUM(F30:F37)</f>
        <v>2845.12</v>
      </c>
      <c r="G38" s="43">
        <f t="shared" si="6"/>
        <v>1612</v>
      </c>
      <c r="H38" s="43">
        <f t="shared" si="6"/>
        <v>745</v>
      </c>
      <c r="I38" s="43">
        <f t="shared" si="6"/>
        <v>403</v>
      </c>
      <c r="J38" s="43">
        <f t="shared" si="6"/>
        <v>1283</v>
      </c>
      <c r="K38" s="43">
        <f t="shared" si="6"/>
        <v>968</v>
      </c>
      <c r="L38" s="43">
        <f t="shared" si="6"/>
        <v>1889</v>
      </c>
      <c r="M38" s="97">
        <f t="shared" si="6"/>
        <v>1499</v>
      </c>
      <c r="N38" s="43">
        <f t="shared" ref="N38:S38" si="7">SUM(N30:N37)</f>
        <v>1238</v>
      </c>
      <c r="O38" s="43">
        <f t="shared" si="7"/>
        <v>820</v>
      </c>
      <c r="P38" s="43">
        <f t="shared" si="7"/>
        <v>2068</v>
      </c>
      <c r="Q38" s="43">
        <f t="shared" si="7"/>
        <v>2056</v>
      </c>
      <c r="R38" s="43">
        <f t="shared" si="7"/>
        <v>235</v>
      </c>
      <c r="S38" s="43">
        <f t="shared" si="7"/>
        <v>3695</v>
      </c>
      <c r="T38" s="43"/>
      <c r="U38" s="79"/>
    </row>
    <row r="43" spans="1:21" x14ac:dyDescent="0.25">
      <c r="O43" s="90"/>
    </row>
    <row r="50" spans="15:15" x14ac:dyDescent="0.25">
      <c r="O50" s="90"/>
    </row>
    <row r="51" spans="15:15" x14ac:dyDescent="0.25">
      <c r="O51" s="37"/>
    </row>
    <row r="52" spans="15:15" x14ac:dyDescent="0.25">
      <c r="O52" s="37"/>
    </row>
    <row r="53" spans="15:15" x14ac:dyDescent="0.25">
      <c r="O53" s="37"/>
    </row>
    <row r="54" spans="15:15" x14ac:dyDescent="0.25">
      <c r="O54" s="37"/>
    </row>
    <row r="55" spans="15:15" x14ac:dyDescent="0.25">
      <c r="O55" s="37"/>
    </row>
    <row r="56" spans="15:15" x14ac:dyDescent="0.25">
      <c r="O56" s="37"/>
    </row>
  </sheetData>
  <conditionalFormatting sqref="E1">
    <cfRule type="expression" dxfId="16" priority="2">
      <formula>ISBLANK(XFD1)=FALSE</formula>
    </cfRule>
  </conditionalFormatting>
  <conditionalFormatting sqref="E29">
    <cfRule type="expression" dxfId="15" priority="1">
      <formula>ISBLANK(XFD29)=FALSE</formula>
    </cfRule>
  </conditionalFormatting>
  <pageMargins left="0.75" right="0.75" top="1" bottom="1" header="0.5" footer="0.5"/>
  <pageSetup paperSize="9" scale="66" fitToHeight="3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Y29"/>
  <sheetViews>
    <sheetView zoomScaleNormal="65" workbookViewId="0"/>
  </sheetViews>
  <sheetFormatPr defaultColWidth="8.6640625" defaultRowHeight="13.2" x14ac:dyDescent="0.25"/>
  <cols>
    <col min="1" max="1" width="19.332031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2" width="11.6640625" customWidth="1"/>
    <col min="13" max="13" width="11.109375" customWidth="1"/>
    <col min="14" max="14" width="10.6640625" customWidth="1"/>
    <col min="15" max="24" width="10.109375" bestFit="1" customWidth="1"/>
  </cols>
  <sheetData>
    <row r="1" spans="1:25" ht="13.8" thickBot="1" x14ac:dyDescent="0.3">
      <c r="A1" s="38" t="s">
        <v>90</v>
      </c>
      <c r="B1" s="24" t="s">
        <v>169</v>
      </c>
      <c r="C1" s="114" t="s">
        <v>178</v>
      </c>
      <c r="D1" s="69" t="s">
        <v>170</v>
      </c>
      <c r="E1" s="116">
        <v>46113</v>
      </c>
      <c r="F1" s="99">
        <v>45748</v>
      </c>
      <c r="G1" s="99">
        <v>45383</v>
      </c>
      <c r="H1" s="99">
        <v>45017</v>
      </c>
      <c r="I1" s="99">
        <v>44652</v>
      </c>
      <c r="J1" s="99">
        <v>44287</v>
      </c>
      <c r="K1" s="99">
        <v>43922</v>
      </c>
      <c r="L1" s="99">
        <v>43556</v>
      </c>
      <c r="M1" s="99">
        <v>43191</v>
      </c>
      <c r="N1" s="25">
        <v>42826</v>
      </c>
      <c r="O1" s="25">
        <v>42461</v>
      </c>
      <c r="P1" s="25">
        <v>42095</v>
      </c>
      <c r="Q1" s="25">
        <v>41730</v>
      </c>
      <c r="R1" s="25">
        <v>41365</v>
      </c>
      <c r="S1" s="25">
        <v>41000</v>
      </c>
      <c r="T1" s="25">
        <v>40634</v>
      </c>
      <c r="U1" s="25">
        <v>40269</v>
      </c>
      <c r="V1" s="25">
        <v>39904</v>
      </c>
      <c r="W1" s="25">
        <v>39539</v>
      </c>
      <c r="X1" s="26">
        <v>39173</v>
      </c>
    </row>
    <row r="2" spans="1:25" x14ac:dyDescent="0.25">
      <c r="A2" s="39" t="s">
        <v>4</v>
      </c>
      <c r="B2" s="44">
        <f t="shared" ref="B2:B21" si="0">IFERROR(((E2-F2)/F2),"")</f>
        <v>5.1739894551845342</v>
      </c>
      <c r="C2" s="107">
        <v>-1150</v>
      </c>
      <c r="D2" s="37">
        <v>-176</v>
      </c>
      <c r="E2" s="112">
        <v>3513</v>
      </c>
      <c r="F2" s="37">
        <v>569</v>
      </c>
      <c r="G2" s="37">
        <v>2302</v>
      </c>
      <c r="H2" s="37">
        <v>1552</v>
      </c>
      <c r="I2" s="37">
        <v>5055</v>
      </c>
      <c r="J2" s="37">
        <v>0</v>
      </c>
      <c r="K2" s="37">
        <v>1331</v>
      </c>
      <c r="L2" s="37">
        <v>3091</v>
      </c>
      <c r="M2" s="37">
        <v>0</v>
      </c>
      <c r="N2" s="37">
        <v>3751</v>
      </c>
      <c r="O2" s="37">
        <v>259</v>
      </c>
      <c r="P2" s="37">
        <v>3230</v>
      </c>
      <c r="Q2" s="37">
        <v>182</v>
      </c>
      <c r="R2" s="37">
        <v>18</v>
      </c>
      <c r="S2" s="37">
        <v>60</v>
      </c>
      <c r="T2" s="37">
        <v>186</v>
      </c>
      <c r="U2" s="37">
        <v>306</v>
      </c>
      <c r="V2" s="37">
        <v>1902</v>
      </c>
      <c r="W2" s="37">
        <v>209</v>
      </c>
      <c r="X2" s="59">
        <v>1629</v>
      </c>
    </row>
    <row r="3" spans="1:25" x14ac:dyDescent="0.25">
      <c r="A3" s="39" t="s">
        <v>11</v>
      </c>
      <c r="B3" s="44">
        <f t="shared" si="0"/>
        <v>1.1907156673114121</v>
      </c>
      <c r="C3" s="107">
        <v>-8185</v>
      </c>
      <c r="D3" s="37">
        <v>-6531</v>
      </c>
      <c r="E3" s="112">
        <v>16989</v>
      </c>
      <c r="F3" s="37">
        <v>7755</v>
      </c>
      <c r="G3" s="37">
        <v>8406</v>
      </c>
      <c r="H3" s="37">
        <v>8131</v>
      </c>
      <c r="I3" s="37">
        <v>11370</v>
      </c>
      <c r="J3" s="37">
        <v>6724</v>
      </c>
      <c r="K3" s="37">
        <v>6562</v>
      </c>
      <c r="L3" s="37">
        <v>11509</v>
      </c>
      <c r="M3" s="37">
        <v>525</v>
      </c>
      <c r="N3" s="37">
        <v>3981</v>
      </c>
      <c r="O3" s="37">
        <v>8738</v>
      </c>
      <c r="P3" s="37">
        <v>5345</v>
      </c>
      <c r="Q3" s="37">
        <v>5483</v>
      </c>
      <c r="R3" s="37">
        <v>2898</v>
      </c>
      <c r="S3" s="37">
        <v>4506</v>
      </c>
      <c r="T3" s="37">
        <v>3385</v>
      </c>
      <c r="U3" s="37">
        <v>3964</v>
      </c>
      <c r="V3" s="37">
        <v>1975</v>
      </c>
      <c r="W3" s="37">
        <v>3670</v>
      </c>
      <c r="X3" s="59">
        <v>2255</v>
      </c>
    </row>
    <row r="4" spans="1:25" x14ac:dyDescent="0.25">
      <c r="A4" s="39" t="s">
        <v>5</v>
      </c>
      <c r="B4" s="44" t="str">
        <f t="shared" si="0"/>
        <v/>
      </c>
      <c r="C4" s="107">
        <v>0</v>
      </c>
      <c r="D4" s="37">
        <v>0</v>
      </c>
      <c r="E4" s="112">
        <v>0</v>
      </c>
      <c r="F4" s="37">
        <v>0</v>
      </c>
      <c r="G4" s="37">
        <v>0</v>
      </c>
      <c r="H4" s="37">
        <v>0</v>
      </c>
      <c r="I4" s="37">
        <v>0</v>
      </c>
      <c r="J4" s="37">
        <v>0</v>
      </c>
      <c r="K4" s="37">
        <v>0</v>
      </c>
      <c r="L4" s="37"/>
      <c r="M4" s="37">
        <v>0</v>
      </c>
      <c r="N4" s="37">
        <v>41</v>
      </c>
      <c r="O4" s="37">
        <v>169</v>
      </c>
      <c r="P4" s="37"/>
      <c r="Q4" s="37">
        <v>7</v>
      </c>
      <c r="R4" s="37">
        <v>5</v>
      </c>
      <c r="S4" s="37">
        <v>17</v>
      </c>
      <c r="T4" s="37">
        <v>40</v>
      </c>
      <c r="U4" s="37">
        <v>2</v>
      </c>
      <c r="V4" s="37">
        <v>13</v>
      </c>
      <c r="W4" s="37">
        <v>0</v>
      </c>
      <c r="X4" s="59">
        <v>77</v>
      </c>
    </row>
    <row r="5" spans="1:25" x14ac:dyDescent="0.25">
      <c r="A5" s="39" t="s">
        <v>2</v>
      </c>
      <c r="B5" s="44">
        <f t="shared" si="0"/>
        <v>1.1145131038677953</v>
      </c>
      <c r="C5" s="107">
        <v>-12725</v>
      </c>
      <c r="D5" s="37">
        <v>-12501</v>
      </c>
      <c r="E5" s="112">
        <v>41713</v>
      </c>
      <c r="F5" s="37">
        <v>19727</v>
      </c>
      <c r="G5" s="37">
        <v>18010</v>
      </c>
      <c r="H5" s="37">
        <v>40394</v>
      </c>
      <c r="I5" s="37">
        <v>24924</v>
      </c>
      <c r="J5" s="37">
        <v>20292</v>
      </c>
      <c r="K5" s="37">
        <v>20873</v>
      </c>
      <c r="L5" s="37">
        <v>18337</v>
      </c>
      <c r="M5" s="37">
        <v>8568</v>
      </c>
      <c r="N5" s="37">
        <v>18507</v>
      </c>
      <c r="O5" s="37">
        <v>16175</v>
      </c>
      <c r="P5" s="37">
        <v>25375</v>
      </c>
      <c r="Q5" s="37">
        <v>11359</v>
      </c>
      <c r="R5" s="37">
        <v>11247</v>
      </c>
      <c r="S5" s="37">
        <v>15370</v>
      </c>
      <c r="T5" s="37">
        <v>11696</v>
      </c>
      <c r="U5" s="37">
        <v>18014</v>
      </c>
      <c r="V5" s="37">
        <v>10434</v>
      </c>
      <c r="W5" s="37">
        <v>14863</v>
      </c>
      <c r="X5" s="59">
        <v>16288</v>
      </c>
    </row>
    <row r="6" spans="1:25" x14ac:dyDescent="0.25">
      <c r="A6" s="39" t="s">
        <v>12</v>
      </c>
      <c r="B6" s="44">
        <f t="shared" si="0"/>
        <v>0.4569767441860465</v>
      </c>
      <c r="C6" s="107">
        <v>-1082</v>
      </c>
      <c r="D6" s="37">
        <v>-1507</v>
      </c>
      <c r="E6" s="112">
        <v>3759</v>
      </c>
      <c r="F6" s="37">
        <v>2580</v>
      </c>
      <c r="G6" s="37">
        <v>2894</v>
      </c>
      <c r="H6" s="37">
        <v>3815</v>
      </c>
      <c r="I6" s="37">
        <v>2927</v>
      </c>
      <c r="J6" s="37">
        <v>3285</v>
      </c>
      <c r="K6" s="37">
        <v>2762</v>
      </c>
      <c r="L6" s="37">
        <v>5241</v>
      </c>
      <c r="M6" s="37">
        <v>478</v>
      </c>
      <c r="N6" s="37">
        <v>3503</v>
      </c>
      <c r="O6" s="37">
        <v>2327</v>
      </c>
      <c r="P6" s="37">
        <v>4105</v>
      </c>
      <c r="Q6" s="37">
        <v>3118</v>
      </c>
      <c r="R6" s="37">
        <v>98</v>
      </c>
      <c r="S6" s="37">
        <v>1458</v>
      </c>
      <c r="T6" s="37">
        <v>638</v>
      </c>
      <c r="U6" s="37">
        <v>1862</v>
      </c>
      <c r="V6" s="37">
        <v>713</v>
      </c>
      <c r="W6" s="37">
        <v>1382</v>
      </c>
      <c r="X6" s="59">
        <v>132</v>
      </c>
    </row>
    <row r="7" spans="1:25" x14ac:dyDescent="0.25">
      <c r="A7" s="39" t="s">
        <v>9</v>
      </c>
      <c r="B7" s="44">
        <f t="shared" si="0"/>
        <v>1.7554497160652134</v>
      </c>
      <c r="C7" s="107">
        <v>-6713</v>
      </c>
      <c r="D7" s="37">
        <v>-3081</v>
      </c>
      <c r="E7" s="112">
        <v>15042</v>
      </c>
      <c r="F7" s="37">
        <v>5459</v>
      </c>
      <c r="G7" s="37">
        <v>8884</v>
      </c>
      <c r="H7" s="37">
        <v>9276</v>
      </c>
      <c r="I7" s="37">
        <v>10983</v>
      </c>
      <c r="J7" s="37">
        <v>8613</v>
      </c>
      <c r="K7" s="37">
        <v>5641</v>
      </c>
      <c r="L7" s="37">
        <v>5539</v>
      </c>
      <c r="M7" s="37">
        <v>2170</v>
      </c>
      <c r="N7" s="37">
        <v>5476</v>
      </c>
      <c r="O7" s="37">
        <v>5443</v>
      </c>
      <c r="P7" s="37">
        <v>2503</v>
      </c>
      <c r="Q7" s="37">
        <v>3452</v>
      </c>
      <c r="R7" s="37">
        <v>3284</v>
      </c>
      <c r="S7" s="37">
        <v>1961</v>
      </c>
      <c r="T7" s="37">
        <v>1352</v>
      </c>
      <c r="U7" s="37">
        <v>413</v>
      </c>
      <c r="V7" s="37">
        <v>1946</v>
      </c>
      <c r="W7" s="37">
        <v>1268</v>
      </c>
      <c r="X7" s="59">
        <v>1065</v>
      </c>
    </row>
    <row r="8" spans="1:25" x14ac:dyDescent="0.25">
      <c r="A8" s="39" t="s">
        <v>14</v>
      </c>
      <c r="B8" s="44" t="str">
        <f t="shared" si="0"/>
        <v/>
      </c>
      <c r="C8" s="107">
        <v>0</v>
      </c>
      <c r="D8" s="37">
        <v>0</v>
      </c>
      <c r="E8" s="112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/>
      <c r="L8" s="37">
        <v>265</v>
      </c>
      <c r="M8" s="37">
        <v>0</v>
      </c>
      <c r="N8" s="37">
        <v>366</v>
      </c>
      <c r="O8" s="37">
        <v>586</v>
      </c>
      <c r="P8" s="37">
        <v>659</v>
      </c>
      <c r="Q8" s="37">
        <v>985</v>
      </c>
      <c r="R8" s="37">
        <v>1163</v>
      </c>
      <c r="S8" s="37">
        <v>1749</v>
      </c>
      <c r="T8" s="37">
        <v>1788</v>
      </c>
      <c r="U8" s="37">
        <v>3886</v>
      </c>
      <c r="V8" s="37">
        <v>4026</v>
      </c>
      <c r="W8" s="37">
        <v>1146</v>
      </c>
      <c r="X8" s="59">
        <v>4825</v>
      </c>
    </row>
    <row r="9" spans="1:25" x14ac:dyDescent="0.25">
      <c r="A9" s="39" t="s">
        <v>3</v>
      </c>
      <c r="B9" s="44">
        <f t="shared" si="0"/>
        <v>7.274969173859433E-2</v>
      </c>
      <c r="C9" s="107">
        <v>-482</v>
      </c>
      <c r="D9" s="37">
        <v>-377</v>
      </c>
      <c r="E9" s="112">
        <v>870</v>
      </c>
      <c r="F9" s="37">
        <v>811</v>
      </c>
      <c r="G9" s="37">
        <v>1604</v>
      </c>
      <c r="H9" s="37">
        <v>792</v>
      </c>
      <c r="I9" s="37">
        <v>1364</v>
      </c>
      <c r="J9" s="37">
        <v>2132</v>
      </c>
      <c r="K9" s="37">
        <v>1913</v>
      </c>
      <c r="L9" s="37">
        <v>2269</v>
      </c>
      <c r="M9" s="37">
        <v>742</v>
      </c>
      <c r="N9" s="37">
        <v>6064</v>
      </c>
      <c r="O9" s="37">
        <v>5591</v>
      </c>
      <c r="P9" s="37">
        <v>5281</v>
      </c>
      <c r="Q9" s="37">
        <v>6608</v>
      </c>
      <c r="R9" s="37">
        <v>9207</v>
      </c>
      <c r="S9" s="37">
        <v>10589</v>
      </c>
      <c r="T9" s="37">
        <v>7324</v>
      </c>
      <c r="U9" s="37">
        <v>10088</v>
      </c>
      <c r="V9" s="37">
        <v>13179</v>
      </c>
      <c r="W9" s="37">
        <v>9074</v>
      </c>
      <c r="X9" s="59">
        <v>8118</v>
      </c>
    </row>
    <row r="10" spans="1:25" x14ac:dyDescent="0.25">
      <c r="A10" s="39" t="s">
        <v>15</v>
      </c>
      <c r="B10" s="44" t="str">
        <f t="shared" si="0"/>
        <v/>
      </c>
      <c r="C10" s="107">
        <v>-164</v>
      </c>
      <c r="D10" s="37">
        <v>0</v>
      </c>
      <c r="E10" s="112">
        <v>120</v>
      </c>
      <c r="F10" s="37">
        <v>0</v>
      </c>
      <c r="G10" s="37">
        <v>4</v>
      </c>
      <c r="H10" s="37">
        <v>0</v>
      </c>
      <c r="I10" s="37">
        <v>20</v>
      </c>
      <c r="J10" s="37">
        <v>0</v>
      </c>
      <c r="K10" s="37"/>
      <c r="L10" s="37"/>
      <c r="M10" s="37">
        <v>0</v>
      </c>
      <c r="N10" s="37"/>
      <c r="O10" s="37">
        <v>97</v>
      </c>
      <c r="P10" s="37">
        <v>138</v>
      </c>
      <c r="Q10" s="37">
        <v>0</v>
      </c>
      <c r="R10" s="37">
        <v>0</v>
      </c>
      <c r="S10" s="37">
        <v>27</v>
      </c>
      <c r="T10" s="37">
        <v>64</v>
      </c>
      <c r="U10" s="37">
        <v>0</v>
      </c>
      <c r="V10" s="37">
        <v>0</v>
      </c>
      <c r="W10" s="37">
        <v>0</v>
      </c>
      <c r="X10" s="59">
        <v>51</v>
      </c>
    </row>
    <row r="11" spans="1:25" x14ac:dyDescent="0.25">
      <c r="A11" s="39" t="s">
        <v>10</v>
      </c>
      <c r="B11" s="44">
        <f t="shared" si="0"/>
        <v>0.87681970884658456</v>
      </c>
      <c r="C11" s="107">
        <v>-2</v>
      </c>
      <c r="D11" s="37">
        <v>-68</v>
      </c>
      <c r="E11" s="112">
        <v>1676</v>
      </c>
      <c r="F11" s="37">
        <v>893</v>
      </c>
      <c r="G11" s="37">
        <v>1131</v>
      </c>
      <c r="H11" s="37">
        <v>2696</v>
      </c>
      <c r="I11" s="37">
        <v>5212</v>
      </c>
      <c r="J11" s="37">
        <v>4918</v>
      </c>
      <c r="K11" s="37">
        <v>2493</v>
      </c>
      <c r="L11" s="37">
        <v>7444</v>
      </c>
      <c r="M11" s="37">
        <v>6441</v>
      </c>
      <c r="N11" s="37">
        <v>8653</v>
      </c>
      <c r="O11" s="37">
        <v>14004</v>
      </c>
      <c r="P11" s="37">
        <v>6770</v>
      </c>
      <c r="Q11" s="37">
        <v>17169</v>
      </c>
      <c r="R11" s="37">
        <v>18749</v>
      </c>
      <c r="S11" s="37">
        <v>16110</v>
      </c>
      <c r="T11" s="37">
        <v>14018</v>
      </c>
      <c r="U11" s="37">
        <v>19092</v>
      </c>
      <c r="V11" s="37">
        <v>16606</v>
      </c>
      <c r="W11" s="37">
        <v>9252</v>
      </c>
      <c r="X11" s="59">
        <v>14721</v>
      </c>
      <c r="Y11" s="1"/>
    </row>
    <row r="12" spans="1:25" x14ac:dyDescent="0.25">
      <c r="A12" s="39" t="s">
        <v>98</v>
      </c>
      <c r="B12" s="44" t="str">
        <f t="shared" si="0"/>
        <v/>
      </c>
      <c r="C12" s="107">
        <v>0</v>
      </c>
      <c r="D12" s="37">
        <v>0</v>
      </c>
      <c r="E12" s="112">
        <v>0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7"/>
      <c r="L12" s="37"/>
      <c r="M12" s="37">
        <v>0</v>
      </c>
      <c r="N12" s="37"/>
      <c r="O12" s="37"/>
      <c r="P12" s="37"/>
      <c r="Q12" s="37"/>
      <c r="R12" s="37">
        <v>0</v>
      </c>
      <c r="S12" s="37">
        <v>0</v>
      </c>
      <c r="T12" s="37">
        <v>0</v>
      </c>
      <c r="U12" s="37">
        <v>3</v>
      </c>
      <c r="V12" s="37">
        <v>0</v>
      </c>
      <c r="W12" s="37">
        <v>0</v>
      </c>
      <c r="X12" s="59">
        <v>0</v>
      </c>
      <c r="Y12" s="1"/>
    </row>
    <row r="13" spans="1:25" x14ac:dyDescent="0.25">
      <c r="A13" s="39" t="s">
        <v>26</v>
      </c>
      <c r="B13" s="44">
        <f t="shared" si="0"/>
        <v>0.31954285714285713</v>
      </c>
      <c r="C13" s="107">
        <v>-1252</v>
      </c>
      <c r="D13" s="37">
        <v>-677</v>
      </c>
      <c r="E13" s="112">
        <v>11546</v>
      </c>
      <c r="F13" s="37">
        <v>8750</v>
      </c>
      <c r="G13" s="37">
        <v>6761</v>
      </c>
      <c r="H13" s="37">
        <v>9577</v>
      </c>
      <c r="I13" s="37">
        <v>12114</v>
      </c>
      <c r="J13" s="37">
        <v>7244</v>
      </c>
      <c r="K13" s="37">
        <v>8512</v>
      </c>
      <c r="L13" s="37">
        <v>20592</v>
      </c>
      <c r="M13" s="37">
        <v>5583</v>
      </c>
      <c r="N13" s="37">
        <v>21323</v>
      </c>
      <c r="O13" s="37">
        <v>19529</v>
      </c>
      <c r="P13" s="37">
        <v>25472</v>
      </c>
      <c r="Q13" s="37">
        <v>20791</v>
      </c>
      <c r="R13" s="37">
        <v>26912</v>
      </c>
      <c r="S13" s="37">
        <v>33538</v>
      </c>
      <c r="T13" s="37">
        <v>23340</v>
      </c>
      <c r="U13" s="37">
        <v>33376</v>
      </c>
      <c r="V13" s="37">
        <v>33010</v>
      </c>
      <c r="W13" s="37">
        <v>28894</v>
      </c>
      <c r="X13" s="59">
        <v>30072</v>
      </c>
      <c r="Y13" s="1"/>
    </row>
    <row r="14" spans="1:25" x14ac:dyDescent="0.25">
      <c r="A14" s="39" t="s">
        <v>25</v>
      </c>
      <c r="B14" s="44">
        <f t="shared" si="0"/>
        <v>0.1503921568627451</v>
      </c>
      <c r="C14" s="107">
        <v>-1955</v>
      </c>
      <c r="D14" s="37">
        <v>-424</v>
      </c>
      <c r="E14" s="112">
        <v>11734</v>
      </c>
      <c r="F14" s="37">
        <v>10200</v>
      </c>
      <c r="G14" s="37">
        <v>10526</v>
      </c>
      <c r="H14" s="37">
        <v>12019</v>
      </c>
      <c r="I14" s="37">
        <v>20705</v>
      </c>
      <c r="J14" s="37">
        <v>22538</v>
      </c>
      <c r="K14" s="37">
        <v>17694</v>
      </c>
      <c r="L14" s="37">
        <v>34667</v>
      </c>
      <c r="M14" s="37">
        <v>13884</v>
      </c>
      <c r="N14" s="37">
        <v>40962</v>
      </c>
      <c r="O14" s="37">
        <v>41125</v>
      </c>
      <c r="P14" s="37">
        <v>47349</v>
      </c>
      <c r="Q14" s="37">
        <v>33906</v>
      </c>
      <c r="R14" s="37">
        <v>46297</v>
      </c>
      <c r="S14" s="37">
        <v>46940</v>
      </c>
      <c r="T14" s="37">
        <v>34356</v>
      </c>
      <c r="U14" s="37">
        <v>44835</v>
      </c>
      <c r="V14" s="37">
        <v>37635</v>
      </c>
      <c r="W14" s="37">
        <v>32179</v>
      </c>
      <c r="X14" s="59">
        <v>35163</v>
      </c>
    </row>
    <row r="15" spans="1:25" x14ac:dyDescent="0.25">
      <c r="A15" s="39" t="s">
        <v>13</v>
      </c>
      <c r="B15" s="44">
        <f t="shared" si="0"/>
        <v>1.4989898989898991</v>
      </c>
      <c r="C15" s="107">
        <v>-984</v>
      </c>
      <c r="D15" s="37">
        <v>-592</v>
      </c>
      <c r="E15" s="112">
        <v>3711</v>
      </c>
      <c r="F15" s="37">
        <v>1485</v>
      </c>
      <c r="G15" s="37">
        <v>2689</v>
      </c>
      <c r="H15" s="37">
        <v>3607</v>
      </c>
      <c r="I15" s="37">
        <v>4386</v>
      </c>
      <c r="J15" s="37">
        <v>3102</v>
      </c>
      <c r="K15" s="37">
        <v>3713</v>
      </c>
      <c r="L15" s="37">
        <v>4455</v>
      </c>
      <c r="M15" s="37">
        <v>2521</v>
      </c>
      <c r="N15" s="37">
        <v>7170</v>
      </c>
      <c r="O15" s="37">
        <v>8912</v>
      </c>
      <c r="P15" s="37">
        <v>8788</v>
      </c>
      <c r="Q15" s="37">
        <v>5968</v>
      </c>
      <c r="R15" s="37">
        <v>5992</v>
      </c>
      <c r="S15" s="37">
        <v>4526</v>
      </c>
      <c r="T15" s="37">
        <v>3452</v>
      </c>
      <c r="U15" s="37">
        <v>4262</v>
      </c>
      <c r="V15" s="37">
        <v>3464</v>
      </c>
      <c r="W15" s="37">
        <v>1207</v>
      </c>
      <c r="X15" s="59">
        <v>2077</v>
      </c>
    </row>
    <row r="16" spans="1:25" x14ac:dyDescent="0.25">
      <c r="A16" s="39" t="s">
        <v>132</v>
      </c>
      <c r="B16" s="44">
        <f t="shared" si="0"/>
        <v>0.46155150008475054</v>
      </c>
      <c r="C16" s="107">
        <v>-4514</v>
      </c>
      <c r="D16" s="37">
        <v>-3259</v>
      </c>
      <c r="E16" s="112">
        <v>51736</v>
      </c>
      <c r="F16" s="37">
        <v>35398</v>
      </c>
      <c r="G16" s="37">
        <v>39131</v>
      </c>
      <c r="H16" s="37">
        <v>37208</v>
      </c>
      <c r="I16" s="37">
        <v>52381</v>
      </c>
      <c r="J16" s="37">
        <v>40038</v>
      </c>
      <c r="K16" s="37">
        <v>33949</v>
      </c>
      <c r="L16" s="37">
        <v>50299</v>
      </c>
      <c r="M16" s="37">
        <v>28232</v>
      </c>
      <c r="N16" s="37">
        <v>44254</v>
      </c>
      <c r="O16" s="37">
        <v>28200</v>
      </c>
      <c r="P16" s="37">
        <v>24718</v>
      </c>
      <c r="Q16" s="37">
        <v>12045</v>
      </c>
      <c r="R16" s="37">
        <v>16692</v>
      </c>
      <c r="S16" s="37">
        <v>12671</v>
      </c>
      <c r="T16" s="37">
        <v>7452</v>
      </c>
      <c r="U16" s="37">
        <v>10952</v>
      </c>
      <c r="V16" s="37">
        <v>7842</v>
      </c>
      <c r="W16" s="37">
        <v>6815</v>
      </c>
      <c r="X16" s="59">
        <v>1779</v>
      </c>
    </row>
    <row r="17" spans="1:24" x14ac:dyDescent="0.25">
      <c r="A17" s="39" t="s">
        <v>88</v>
      </c>
      <c r="B17" s="44" t="str">
        <f t="shared" si="0"/>
        <v/>
      </c>
      <c r="C17" s="107">
        <v>-194</v>
      </c>
      <c r="D17" s="37">
        <v>0</v>
      </c>
      <c r="E17" s="112">
        <v>354</v>
      </c>
      <c r="F17" s="37">
        <v>0</v>
      </c>
      <c r="G17" s="37">
        <v>0</v>
      </c>
      <c r="H17" s="37">
        <v>3</v>
      </c>
      <c r="I17" s="37">
        <v>169</v>
      </c>
      <c r="J17" s="37">
        <v>169</v>
      </c>
      <c r="K17" s="37">
        <v>50</v>
      </c>
      <c r="L17" s="37">
        <v>56</v>
      </c>
      <c r="M17" s="37">
        <v>7</v>
      </c>
      <c r="N17" s="37">
        <v>356</v>
      </c>
      <c r="O17" s="37">
        <v>697</v>
      </c>
      <c r="P17" s="37">
        <v>269</v>
      </c>
      <c r="Q17" s="37">
        <v>18</v>
      </c>
      <c r="R17" s="37">
        <v>935</v>
      </c>
      <c r="S17" s="37">
        <v>854</v>
      </c>
      <c r="T17" s="37">
        <v>130</v>
      </c>
      <c r="U17" s="37">
        <v>34</v>
      </c>
      <c r="V17" s="37">
        <v>90</v>
      </c>
      <c r="W17" s="37">
        <v>45</v>
      </c>
      <c r="X17" s="59">
        <v>16</v>
      </c>
    </row>
    <row r="18" spans="1:24" x14ac:dyDescent="0.25">
      <c r="A18" s="39" t="s">
        <v>95</v>
      </c>
      <c r="B18" s="44">
        <f t="shared" si="0"/>
        <v>1.5387931034482758</v>
      </c>
      <c r="C18" s="107">
        <v>-259</v>
      </c>
      <c r="D18" s="37">
        <v>-337</v>
      </c>
      <c r="E18" s="112">
        <v>1178</v>
      </c>
      <c r="F18" s="37">
        <v>464</v>
      </c>
      <c r="G18" s="37">
        <v>508</v>
      </c>
      <c r="H18" s="37">
        <v>1319</v>
      </c>
      <c r="I18" s="37">
        <v>830</v>
      </c>
      <c r="J18" s="37">
        <v>583</v>
      </c>
      <c r="K18" s="37">
        <v>264</v>
      </c>
      <c r="L18" s="37">
        <v>1210</v>
      </c>
      <c r="M18" s="37">
        <v>68</v>
      </c>
      <c r="N18" s="37">
        <v>238</v>
      </c>
      <c r="O18" s="37">
        <v>432</v>
      </c>
      <c r="P18" s="37">
        <v>269</v>
      </c>
      <c r="Q18" s="37">
        <v>539</v>
      </c>
      <c r="R18" s="37">
        <v>384</v>
      </c>
      <c r="S18" s="37">
        <v>550</v>
      </c>
      <c r="T18" s="37">
        <v>1003</v>
      </c>
      <c r="U18" s="37">
        <v>946</v>
      </c>
      <c r="V18" s="37">
        <v>951</v>
      </c>
      <c r="W18" s="37">
        <v>382</v>
      </c>
      <c r="X18" s="59">
        <v>777</v>
      </c>
    </row>
    <row r="19" spans="1:24" x14ac:dyDescent="0.25">
      <c r="A19" s="39" t="s">
        <v>141</v>
      </c>
      <c r="B19" s="44">
        <f t="shared" si="0"/>
        <v>1.6424902531097221</v>
      </c>
      <c r="C19" s="107">
        <v>-9345</v>
      </c>
      <c r="D19" s="37">
        <v>-9036</v>
      </c>
      <c r="E19" s="112">
        <v>42700</v>
      </c>
      <c r="F19" s="37">
        <v>16159</v>
      </c>
      <c r="G19" s="37">
        <v>9562</v>
      </c>
      <c r="H19" s="37">
        <v>25627</v>
      </c>
      <c r="I19" s="37">
        <v>18209</v>
      </c>
      <c r="J19" s="37">
        <v>19133</v>
      </c>
      <c r="K19" s="37">
        <v>13811</v>
      </c>
      <c r="L19" s="37">
        <v>21926</v>
      </c>
      <c r="M19" s="37">
        <v>5435</v>
      </c>
      <c r="N19" s="37">
        <v>12376</v>
      </c>
      <c r="O19" s="37">
        <v>12240</v>
      </c>
      <c r="P19" s="37">
        <v>12692</v>
      </c>
      <c r="Q19" s="37">
        <v>8112</v>
      </c>
      <c r="R19" s="37">
        <v>5969</v>
      </c>
      <c r="S19" s="37">
        <v>4445</v>
      </c>
      <c r="T19" s="37">
        <v>2591</v>
      </c>
      <c r="U19" s="37">
        <v>3153</v>
      </c>
      <c r="V19" s="37">
        <v>1188</v>
      </c>
      <c r="W19" s="37">
        <v>1390</v>
      </c>
      <c r="X19" s="59">
        <v>302</v>
      </c>
    </row>
    <row r="20" spans="1:24" ht="13.8" thickBot="1" x14ac:dyDescent="0.3">
      <c r="A20" s="40" t="s">
        <v>6</v>
      </c>
      <c r="B20" s="45">
        <f t="shared" si="0"/>
        <v>1.3480380775481773</v>
      </c>
      <c r="C20" s="107">
        <v>-1676</v>
      </c>
      <c r="D20" s="37">
        <v>2399</v>
      </c>
      <c r="E20" s="112">
        <v>10113</v>
      </c>
      <c r="F20" s="37">
        <v>4307</v>
      </c>
      <c r="G20" s="37">
        <v>15917</v>
      </c>
      <c r="H20" s="37">
        <v>6283</v>
      </c>
      <c r="I20" s="37">
        <v>2058</v>
      </c>
      <c r="J20" s="37">
        <v>859</v>
      </c>
      <c r="K20" s="37">
        <v>1846</v>
      </c>
      <c r="L20" s="37">
        <v>2061</v>
      </c>
      <c r="M20" s="37">
        <v>254</v>
      </c>
      <c r="N20" s="37">
        <v>1847</v>
      </c>
      <c r="O20" s="37">
        <v>1792</v>
      </c>
      <c r="P20" s="37">
        <v>3084</v>
      </c>
      <c r="Q20" s="37">
        <v>2808</v>
      </c>
      <c r="R20" s="37">
        <v>3300</v>
      </c>
      <c r="S20" s="37">
        <v>2524</v>
      </c>
      <c r="T20" s="37">
        <v>1893</v>
      </c>
      <c r="U20" s="37">
        <v>2606</v>
      </c>
      <c r="V20" s="37">
        <v>2548</v>
      </c>
      <c r="W20" s="37">
        <v>1852</v>
      </c>
      <c r="X20" s="59">
        <v>2014</v>
      </c>
    </row>
    <row r="21" spans="1:24" ht="13.8" thickBot="1" x14ac:dyDescent="0.3">
      <c r="A21" s="41" t="s">
        <v>91</v>
      </c>
      <c r="B21" s="68">
        <f t="shared" si="0"/>
        <v>0.89210611311399568</v>
      </c>
      <c r="C21" s="109">
        <v>-50682</v>
      </c>
      <c r="D21" s="43">
        <v>-36167</v>
      </c>
      <c r="E21" s="113">
        <f t="shared" ref="E21:F21" si="1">SUM(E2:E20)</f>
        <v>216754</v>
      </c>
      <c r="F21" s="43">
        <f t="shared" si="1"/>
        <v>114557</v>
      </c>
      <c r="G21" s="43">
        <f t="shared" ref="G21:L21" si="2">SUM(G2:G20)</f>
        <v>128329</v>
      </c>
      <c r="H21" s="43">
        <f t="shared" si="2"/>
        <v>162299</v>
      </c>
      <c r="I21" s="43">
        <f t="shared" si="2"/>
        <v>172707</v>
      </c>
      <c r="J21" s="43">
        <f t="shared" si="2"/>
        <v>139630</v>
      </c>
      <c r="K21" s="43">
        <f t="shared" si="2"/>
        <v>121414</v>
      </c>
      <c r="L21" s="43">
        <f t="shared" si="2"/>
        <v>188961</v>
      </c>
      <c r="M21" s="43">
        <f t="shared" ref="M21:R21" si="3">SUM(M2:M20)</f>
        <v>74908</v>
      </c>
      <c r="N21" s="43">
        <f t="shared" si="3"/>
        <v>178868</v>
      </c>
      <c r="O21" s="43">
        <f t="shared" si="3"/>
        <v>166316</v>
      </c>
      <c r="P21" s="43">
        <f t="shared" si="3"/>
        <v>176047</v>
      </c>
      <c r="Q21" s="43">
        <f t="shared" si="3"/>
        <v>132550</v>
      </c>
      <c r="R21" s="43">
        <f t="shared" si="3"/>
        <v>153150</v>
      </c>
      <c r="S21" s="43">
        <f t="shared" ref="S21:X21" si="4">SUM(S2:S20)</f>
        <v>157895</v>
      </c>
      <c r="T21" s="43">
        <f t="shared" si="4"/>
        <v>114708</v>
      </c>
      <c r="U21" s="43">
        <f t="shared" si="4"/>
        <v>157794</v>
      </c>
      <c r="V21" s="43">
        <f t="shared" si="4"/>
        <v>137522</v>
      </c>
      <c r="W21" s="43">
        <f t="shared" si="4"/>
        <v>113628</v>
      </c>
      <c r="X21" s="79">
        <f t="shared" si="4"/>
        <v>121361</v>
      </c>
    </row>
    <row r="23" spans="1:24" ht="13.8" thickBot="1" x14ac:dyDescent="0.3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s="46" customFormat="1" ht="13.8" thickBot="1" x14ac:dyDescent="0.3">
      <c r="A24" s="47" t="s">
        <v>24</v>
      </c>
      <c r="B24" s="24" t="s">
        <v>169</v>
      </c>
      <c r="C24" s="114" t="s">
        <v>178</v>
      </c>
      <c r="D24" s="69" t="s">
        <v>170</v>
      </c>
      <c r="E24" s="116">
        <v>46113</v>
      </c>
      <c r="F24" s="99">
        <v>45748</v>
      </c>
      <c r="G24" s="99">
        <v>45383</v>
      </c>
      <c r="H24" s="99">
        <v>45017</v>
      </c>
      <c r="I24" s="99">
        <v>44652</v>
      </c>
      <c r="J24" s="99">
        <v>44287</v>
      </c>
      <c r="K24" s="99">
        <v>43922</v>
      </c>
      <c r="L24" s="99">
        <v>43556</v>
      </c>
      <c r="M24" s="99">
        <v>43191</v>
      </c>
      <c r="N24" s="25">
        <v>42826</v>
      </c>
      <c r="O24" s="25">
        <v>42461</v>
      </c>
      <c r="P24" s="25">
        <v>42125</v>
      </c>
      <c r="Q24" s="25">
        <v>41730</v>
      </c>
      <c r="R24" s="25">
        <v>41365</v>
      </c>
      <c r="S24" s="25">
        <v>41000</v>
      </c>
      <c r="T24" s="25">
        <v>40634</v>
      </c>
      <c r="U24" s="25">
        <v>40269</v>
      </c>
      <c r="V24" s="25">
        <v>39904</v>
      </c>
      <c r="W24" s="25">
        <v>39539</v>
      </c>
      <c r="X24" s="26">
        <v>39173</v>
      </c>
    </row>
    <row r="25" spans="1:24" s="46" customFormat="1" ht="13.8" thickBot="1" x14ac:dyDescent="0.3">
      <c r="A25" s="51" t="s">
        <v>6</v>
      </c>
      <c r="B25" s="78">
        <f t="shared" ref="B25:B26" si="5">IFERROR(((E25-F25)/F25),"")</f>
        <v>-0.18726235741444866</v>
      </c>
      <c r="C25" s="135">
        <v>-1588</v>
      </c>
      <c r="D25" s="54">
        <v>-1011</v>
      </c>
      <c r="E25" s="53">
        <v>855</v>
      </c>
      <c r="F25" s="54">
        <v>1052</v>
      </c>
      <c r="G25" s="54">
        <v>1319</v>
      </c>
      <c r="H25" s="54">
        <v>158</v>
      </c>
      <c r="I25" s="54">
        <v>583</v>
      </c>
      <c r="J25" s="54">
        <v>612</v>
      </c>
      <c r="K25" s="54">
        <v>394</v>
      </c>
      <c r="L25" s="54">
        <v>821</v>
      </c>
      <c r="M25" s="54">
        <v>393</v>
      </c>
      <c r="N25" s="54">
        <v>53</v>
      </c>
      <c r="O25" s="54">
        <v>119</v>
      </c>
      <c r="P25" s="54">
        <v>585</v>
      </c>
      <c r="Q25" s="54">
        <v>360</v>
      </c>
      <c r="R25" s="54">
        <v>66</v>
      </c>
      <c r="S25" s="54">
        <v>361</v>
      </c>
      <c r="T25" s="54">
        <v>9</v>
      </c>
      <c r="U25" s="54">
        <v>147</v>
      </c>
      <c r="V25" s="54">
        <v>111</v>
      </c>
      <c r="W25" s="54">
        <v>184</v>
      </c>
      <c r="X25" s="61">
        <v>84</v>
      </c>
    </row>
    <row r="26" spans="1:24" s="46" customFormat="1" ht="13.8" thickBot="1" x14ac:dyDescent="0.3">
      <c r="A26" s="55" t="s">
        <v>91</v>
      </c>
      <c r="B26" s="56">
        <f t="shared" si="5"/>
        <v>-0.18726235741444866</v>
      </c>
      <c r="C26" s="149">
        <v>-1588</v>
      </c>
      <c r="D26" s="74">
        <v>-1011</v>
      </c>
      <c r="E26" s="57">
        <f>SUM(E25)</f>
        <v>855</v>
      </c>
      <c r="F26" s="74">
        <f>SUM(F25)</f>
        <v>1052</v>
      </c>
      <c r="G26" s="74">
        <v>1319</v>
      </c>
      <c r="H26" s="74">
        <v>158</v>
      </c>
      <c r="I26" s="74">
        <v>583</v>
      </c>
      <c r="J26" s="74">
        <v>612</v>
      </c>
      <c r="K26" s="74">
        <f>SUM(K25)</f>
        <v>394</v>
      </c>
      <c r="L26" s="74">
        <v>821</v>
      </c>
      <c r="M26" s="74">
        <v>393</v>
      </c>
      <c r="N26" s="74">
        <f>SUM(N25)</f>
        <v>53</v>
      </c>
      <c r="O26" s="74">
        <f>SUM(O25)</f>
        <v>119</v>
      </c>
      <c r="P26" s="74">
        <f>SUM(P25)</f>
        <v>585</v>
      </c>
      <c r="Q26" s="74">
        <f>SUM(Q25)</f>
        <v>360</v>
      </c>
      <c r="R26" s="74">
        <f>SUM(R25)</f>
        <v>66</v>
      </c>
      <c r="S26" s="74">
        <f t="shared" ref="S26:X26" si="6">SUM(S25)</f>
        <v>361</v>
      </c>
      <c r="T26" s="74">
        <f t="shared" si="6"/>
        <v>9</v>
      </c>
      <c r="U26" s="74">
        <f t="shared" si="6"/>
        <v>147</v>
      </c>
      <c r="V26" s="74">
        <f t="shared" si="6"/>
        <v>111</v>
      </c>
      <c r="W26" s="58">
        <f t="shared" si="6"/>
        <v>184</v>
      </c>
      <c r="X26" s="62">
        <f t="shared" si="6"/>
        <v>84</v>
      </c>
    </row>
    <row r="27" spans="1:24" s="46" customFormat="1" x14ac:dyDescent="0.25"/>
    <row r="28" spans="1:24" s="46" customFormat="1" x14ac:dyDescent="0.25"/>
    <row r="29" spans="1:24" s="46" customFormat="1" x14ac:dyDescent="0.25">
      <c r="A29"/>
      <c r="B29"/>
      <c r="C29"/>
      <c r="D29"/>
      <c r="E29"/>
    </row>
  </sheetData>
  <conditionalFormatting sqref="E1">
    <cfRule type="expression" dxfId="14" priority="2">
      <formula>ISBLANK(XFD1)=FALSE</formula>
    </cfRule>
  </conditionalFormatting>
  <conditionalFormatting sqref="E24">
    <cfRule type="expression" dxfId="13" priority="1">
      <formula>ISBLANK(XFD24)=FALSE</formula>
    </cfRule>
  </conditionalFormatting>
  <pageMargins left="0.75" right="0.75" top="1" bottom="1" header="0.5" footer="0.5"/>
  <pageSetup paperSize="9" scale="66" fitToHeight="3" orientation="landscape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47"/>
  <sheetViews>
    <sheetView zoomScaleNormal="100" workbookViewId="0"/>
  </sheetViews>
  <sheetFormatPr defaultColWidth="8.6640625" defaultRowHeight="13.2" x14ac:dyDescent="0.25"/>
  <cols>
    <col min="1" max="1" width="19.6640625" customWidth="1"/>
    <col min="2" max="3" width="10.6640625" customWidth="1"/>
    <col min="4" max="4" width="11.33203125" bestFit="1" customWidth="1"/>
    <col min="5" max="5" width="11.33203125" customWidth="1"/>
    <col min="6" max="12" width="11.6640625" customWidth="1"/>
    <col min="13" max="13" width="11.33203125" customWidth="1"/>
    <col min="14" max="14" width="10.6640625" customWidth="1"/>
    <col min="15" max="24" width="10.109375" bestFit="1" customWidth="1"/>
  </cols>
  <sheetData>
    <row r="1" spans="1:24" ht="13.8" thickBot="1" x14ac:dyDescent="0.3">
      <c r="A1" s="38" t="s">
        <v>90</v>
      </c>
      <c r="B1" s="24" t="s">
        <v>169</v>
      </c>
      <c r="C1" s="114" t="s">
        <v>178</v>
      </c>
      <c r="D1" s="69" t="s">
        <v>170</v>
      </c>
      <c r="E1" s="116">
        <v>46113</v>
      </c>
      <c r="F1" s="99">
        <v>45748</v>
      </c>
      <c r="G1" s="99">
        <v>45383</v>
      </c>
      <c r="H1" s="99">
        <v>45017</v>
      </c>
      <c r="I1" s="99">
        <v>44652</v>
      </c>
      <c r="J1" s="99">
        <v>44287</v>
      </c>
      <c r="K1" s="99">
        <v>43922</v>
      </c>
      <c r="L1" s="99">
        <v>43556</v>
      </c>
      <c r="M1" s="99">
        <v>43191</v>
      </c>
      <c r="N1" s="25">
        <v>42826</v>
      </c>
      <c r="O1" s="25">
        <v>42461</v>
      </c>
      <c r="P1" s="25">
        <v>42095</v>
      </c>
      <c r="Q1" s="25">
        <v>41730</v>
      </c>
      <c r="R1" s="25">
        <v>41365</v>
      </c>
      <c r="S1" s="25">
        <v>41000</v>
      </c>
      <c r="T1" s="25">
        <v>40634</v>
      </c>
      <c r="U1" s="25">
        <v>40269</v>
      </c>
      <c r="V1" s="25">
        <v>39904</v>
      </c>
      <c r="W1" s="25">
        <v>39539</v>
      </c>
      <c r="X1" s="26">
        <v>39173</v>
      </c>
    </row>
    <row r="2" spans="1:24" x14ac:dyDescent="0.25">
      <c r="A2" s="20" t="s">
        <v>20</v>
      </c>
      <c r="B2" s="122" t="str">
        <f t="shared" ref="B2:B20" si="0">IFERROR(((E2-F2)/F2),"")</f>
        <v/>
      </c>
      <c r="C2" s="106">
        <v>-500</v>
      </c>
      <c r="D2" s="1">
        <v>-500</v>
      </c>
      <c r="E2" s="91">
        <v>0</v>
      </c>
      <c r="F2" s="1">
        <v>0</v>
      </c>
      <c r="G2" s="1"/>
      <c r="H2" s="1"/>
      <c r="I2" s="1">
        <v>0</v>
      </c>
      <c r="J2" s="1"/>
      <c r="K2" s="1"/>
      <c r="L2" s="1">
        <v>0</v>
      </c>
      <c r="M2" s="1">
        <v>0</v>
      </c>
      <c r="N2" s="1">
        <v>0</v>
      </c>
      <c r="O2" s="1">
        <v>0</v>
      </c>
      <c r="P2" s="1">
        <v>0</v>
      </c>
      <c r="Q2" s="1"/>
      <c r="R2" s="1"/>
      <c r="S2" s="1">
        <v>761.6917738204121</v>
      </c>
      <c r="T2" s="1">
        <v>0</v>
      </c>
      <c r="U2" s="1">
        <v>0</v>
      </c>
      <c r="V2" s="1">
        <v>0</v>
      </c>
      <c r="W2" s="1">
        <v>0</v>
      </c>
      <c r="X2" s="29">
        <v>0</v>
      </c>
    </row>
    <row r="3" spans="1:24" x14ac:dyDescent="0.25">
      <c r="A3" s="20" t="s">
        <v>11</v>
      </c>
      <c r="B3" s="122">
        <f t="shared" si="0"/>
        <v>0.21839081372362593</v>
      </c>
      <c r="C3" s="106">
        <v>-3335</v>
      </c>
      <c r="D3" s="1">
        <v>-3267.6000000000022</v>
      </c>
      <c r="E3" s="91">
        <v>18415</v>
      </c>
      <c r="F3" s="1">
        <v>15114.198</v>
      </c>
      <c r="G3" s="1">
        <v>18778.282999999999</v>
      </c>
      <c r="H3" s="1">
        <v>16857.642999999996</v>
      </c>
      <c r="I3" s="1">
        <v>25215.183000000001</v>
      </c>
      <c r="J3" s="1">
        <v>23987.5</v>
      </c>
      <c r="K3" s="1">
        <v>28090.38</v>
      </c>
      <c r="L3" s="1">
        <v>37677.699999999997</v>
      </c>
      <c r="M3" s="1">
        <v>18656</v>
      </c>
      <c r="N3" s="1">
        <v>34255.1</v>
      </c>
      <c r="O3" s="1">
        <v>30762.1</v>
      </c>
      <c r="P3" s="1">
        <v>30965</v>
      </c>
      <c r="Q3" s="1">
        <v>34303</v>
      </c>
      <c r="R3" s="1">
        <v>25751</v>
      </c>
      <c r="S3" s="1">
        <v>36955.079968526392</v>
      </c>
      <c r="T3" s="1">
        <v>35386.915490338557</v>
      </c>
      <c r="U3" s="1">
        <v>36715.03</v>
      </c>
      <c r="V3" s="1">
        <v>29265.77</v>
      </c>
      <c r="W3" s="1">
        <v>26328</v>
      </c>
      <c r="X3" s="29">
        <v>20858</v>
      </c>
    </row>
    <row r="4" spans="1:24" x14ac:dyDescent="0.25">
      <c r="A4" s="20" t="s">
        <v>60</v>
      </c>
      <c r="B4" s="122">
        <f t="shared" si="0"/>
        <v>0.39398024770586865</v>
      </c>
      <c r="C4" s="106">
        <v>-23106</v>
      </c>
      <c r="D4" s="1">
        <v>-20409.601836250877</v>
      </c>
      <c r="E4" s="91">
        <v>77085</v>
      </c>
      <c r="F4" s="1">
        <v>55298.487999999998</v>
      </c>
      <c r="G4" s="1">
        <v>53295.925999999999</v>
      </c>
      <c r="H4" s="1">
        <v>47856.097000000002</v>
      </c>
      <c r="I4" s="1">
        <v>30329.600000000002</v>
      </c>
      <c r="J4" s="1">
        <v>33448.199999999997</v>
      </c>
      <c r="K4" s="1">
        <v>22654.3</v>
      </c>
      <c r="L4" s="1">
        <v>30183.200000000001</v>
      </c>
      <c r="M4" s="1">
        <v>19609</v>
      </c>
      <c r="N4" s="1">
        <v>31233.9</v>
      </c>
      <c r="O4" s="1">
        <v>23110.300000000003</v>
      </c>
      <c r="P4" s="1">
        <v>42691</v>
      </c>
      <c r="Q4" s="1">
        <v>16692</v>
      </c>
      <c r="R4" s="1">
        <v>8234</v>
      </c>
      <c r="S4" s="1">
        <v>26093.956609458222</v>
      </c>
      <c r="T4" s="1">
        <v>10925.109201359593</v>
      </c>
      <c r="U4" s="1"/>
      <c r="V4" s="1"/>
      <c r="W4" s="1"/>
      <c r="X4" s="29"/>
    </row>
    <row r="5" spans="1:24" x14ac:dyDescent="0.25">
      <c r="A5" s="20" t="s">
        <v>2</v>
      </c>
      <c r="B5" s="122" t="str">
        <f t="shared" si="0"/>
        <v/>
      </c>
      <c r="C5" s="106">
        <v>0</v>
      </c>
      <c r="D5" s="1">
        <v>0</v>
      </c>
      <c r="E5" s="91"/>
      <c r="F5" s="1"/>
      <c r="G5" s="1"/>
      <c r="H5" s="1"/>
      <c r="I5" s="1"/>
      <c r="J5" s="1"/>
      <c r="K5" s="1"/>
      <c r="L5" s="1">
        <v>0</v>
      </c>
      <c r="M5" s="1">
        <v>0</v>
      </c>
      <c r="N5" s="1">
        <v>0</v>
      </c>
      <c r="O5" s="1">
        <v>2</v>
      </c>
      <c r="P5" s="1">
        <v>0</v>
      </c>
      <c r="Q5" s="1">
        <v>2</v>
      </c>
      <c r="R5" s="1"/>
      <c r="S5" s="1">
        <v>0</v>
      </c>
      <c r="T5" s="1">
        <v>0</v>
      </c>
      <c r="U5" s="1">
        <v>31.8</v>
      </c>
      <c r="V5" s="1">
        <v>0</v>
      </c>
      <c r="W5" s="1">
        <v>9</v>
      </c>
      <c r="X5" s="29"/>
    </row>
    <row r="6" spans="1:24" x14ac:dyDescent="0.25">
      <c r="A6" s="20" t="s">
        <v>12</v>
      </c>
      <c r="B6" s="122">
        <f t="shared" si="0"/>
        <v>0.48955399878645162</v>
      </c>
      <c r="C6" s="106">
        <v>-18351</v>
      </c>
      <c r="D6" s="1">
        <v>-19381.022762370165</v>
      </c>
      <c r="E6" s="91">
        <v>50365</v>
      </c>
      <c r="F6" s="1">
        <v>33812.134397969232</v>
      </c>
      <c r="G6" s="1">
        <v>33275.29680939285</v>
      </c>
      <c r="H6" s="1">
        <v>32167.702588987631</v>
      </c>
      <c r="I6" s="1">
        <v>43339.452097297049</v>
      </c>
      <c r="J6" s="1">
        <v>48342</v>
      </c>
      <c r="K6" s="1">
        <v>39141.952119609545</v>
      </c>
      <c r="L6" s="1">
        <v>57310.6</v>
      </c>
      <c r="M6" s="1">
        <v>35418</v>
      </c>
      <c r="N6" s="1">
        <v>41091.009999999995</v>
      </c>
      <c r="O6" s="1">
        <v>63315.343000000008</v>
      </c>
      <c r="P6" s="1">
        <v>50893</v>
      </c>
      <c r="Q6" s="1">
        <v>57789</v>
      </c>
      <c r="R6" s="1">
        <v>28000</v>
      </c>
      <c r="S6" s="1">
        <v>40519.997915209555</v>
      </c>
      <c r="T6" s="1">
        <v>51166.848137447007</v>
      </c>
      <c r="U6" s="1">
        <v>37282.980000000003</v>
      </c>
      <c r="V6" s="1">
        <v>34837.64</v>
      </c>
      <c r="W6" s="1">
        <v>35448.199999999997</v>
      </c>
      <c r="X6" s="29">
        <v>23704</v>
      </c>
    </row>
    <row r="7" spans="1:24" x14ac:dyDescent="0.25">
      <c r="A7" s="20" t="s">
        <v>9</v>
      </c>
      <c r="B7" s="122">
        <f t="shared" si="0"/>
        <v>-8.2778784289451207E-2</v>
      </c>
      <c r="C7" s="106">
        <v>-21305</v>
      </c>
      <c r="D7" s="1">
        <v>-20295.083523119371</v>
      </c>
      <c r="E7" s="91">
        <v>12362</v>
      </c>
      <c r="F7" s="1">
        <v>13477.66469883</v>
      </c>
      <c r="G7" s="1">
        <v>19039.397750596552</v>
      </c>
      <c r="H7" s="1">
        <v>9159.5566943425911</v>
      </c>
      <c r="I7" s="1">
        <v>20144.544407995498</v>
      </c>
      <c r="J7" s="1">
        <v>13919.4</v>
      </c>
      <c r="K7" s="1">
        <v>15871.103152349184</v>
      </c>
      <c r="L7" s="1">
        <v>11299.8</v>
      </c>
      <c r="M7" s="1">
        <v>524</v>
      </c>
      <c r="N7" s="1">
        <v>10541.91</v>
      </c>
      <c r="O7" s="1">
        <v>1456.6</v>
      </c>
      <c r="P7" s="1">
        <v>11691</v>
      </c>
      <c r="Q7" s="1">
        <v>7492</v>
      </c>
      <c r="R7" s="1">
        <v>1703</v>
      </c>
      <c r="S7" s="1">
        <v>3639.0826720288374</v>
      </c>
      <c r="T7" s="1">
        <v>5818.360867274374</v>
      </c>
      <c r="U7" s="1">
        <v>3036.05</v>
      </c>
      <c r="V7" s="1">
        <v>3855.24</v>
      </c>
      <c r="W7" s="1">
        <v>1352</v>
      </c>
      <c r="X7" s="29">
        <v>532</v>
      </c>
    </row>
    <row r="8" spans="1:24" x14ac:dyDescent="0.25">
      <c r="A8" s="20" t="s">
        <v>14</v>
      </c>
      <c r="B8" s="122" t="str">
        <f t="shared" si="0"/>
        <v/>
      </c>
      <c r="C8" s="106">
        <v>0</v>
      </c>
      <c r="D8" s="1">
        <v>0</v>
      </c>
      <c r="E8" s="91"/>
      <c r="F8" s="1"/>
      <c r="G8" s="1"/>
      <c r="H8" s="1"/>
      <c r="I8" s="1"/>
      <c r="J8" s="1"/>
      <c r="K8" s="1"/>
      <c r="L8" s="1">
        <v>5</v>
      </c>
      <c r="M8" s="1">
        <v>0</v>
      </c>
      <c r="N8" s="1">
        <v>0</v>
      </c>
      <c r="O8" s="1">
        <v>4</v>
      </c>
      <c r="P8" s="1">
        <v>16</v>
      </c>
      <c r="Q8" s="1">
        <v>14</v>
      </c>
      <c r="R8" s="1"/>
      <c r="S8" s="1">
        <v>34.075684618281592</v>
      </c>
      <c r="T8" s="1">
        <v>0</v>
      </c>
      <c r="U8" s="1">
        <v>104.97</v>
      </c>
      <c r="V8" s="1">
        <v>125.11</v>
      </c>
      <c r="W8" s="1">
        <v>120</v>
      </c>
      <c r="X8" s="29">
        <v>281</v>
      </c>
    </row>
    <row r="9" spans="1:24" x14ac:dyDescent="0.25">
      <c r="A9" s="20" t="s">
        <v>3</v>
      </c>
      <c r="B9" s="122">
        <f t="shared" si="0"/>
        <v>-5.8461956069452738E-2</v>
      </c>
      <c r="C9" s="106">
        <v>-63178</v>
      </c>
      <c r="D9" s="1">
        <v>-62820.527403596236</v>
      </c>
      <c r="E9" s="91">
        <v>241352</v>
      </c>
      <c r="F9" s="1">
        <v>256338.02219233892</v>
      </c>
      <c r="G9" s="1">
        <v>298035.2381960515</v>
      </c>
      <c r="H9" s="1">
        <v>214528.01303214501</v>
      </c>
      <c r="I9" s="1">
        <v>313835.47784361814</v>
      </c>
      <c r="J9" s="1">
        <v>280828</v>
      </c>
      <c r="K9" s="1">
        <v>314142.23142021155</v>
      </c>
      <c r="L9" s="1">
        <v>368926.1</v>
      </c>
      <c r="M9" s="1">
        <v>152696</v>
      </c>
      <c r="N9" s="70">
        <v>391916.57</v>
      </c>
      <c r="O9" s="70">
        <v>389812.28900000005</v>
      </c>
      <c r="P9" s="70">
        <v>402370</v>
      </c>
      <c r="Q9" s="70">
        <v>338816</v>
      </c>
      <c r="R9" s="70">
        <v>318541</v>
      </c>
      <c r="S9" s="70">
        <v>372315.94126943563</v>
      </c>
      <c r="T9" s="70">
        <v>358127.7895695655</v>
      </c>
      <c r="U9" s="70">
        <v>361636.99</v>
      </c>
      <c r="V9" s="70">
        <v>407816.56</v>
      </c>
      <c r="W9" s="1">
        <v>326106.8</v>
      </c>
      <c r="X9" s="29">
        <v>321678</v>
      </c>
    </row>
    <row r="10" spans="1:24" x14ac:dyDescent="0.25">
      <c r="A10" s="20" t="s">
        <v>17</v>
      </c>
      <c r="B10" s="122">
        <f t="shared" si="0"/>
        <v>-0.19379117843963062</v>
      </c>
      <c r="C10" s="106">
        <v>-14524</v>
      </c>
      <c r="D10" s="1">
        <v>-19340.802345179654</v>
      </c>
      <c r="E10" s="91">
        <v>45227</v>
      </c>
      <c r="F10" s="1">
        <v>56098.369045957377</v>
      </c>
      <c r="G10" s="1">
        <v>28246.291031007691</v>
      </c>
      <c r="H10" s="1">
        <v>43589.282859360232</v>
      </c>
      <c r="I10" s="1">
        <v>30260.340429080868</v>
      </c>
      <c r="J10" s="1">
        <v>50461.599999999999</v>
      </c>
      <c r="K10" s="1">
        <v>27510.53654281146</v>
      </c>
      <c r="L10" s="1">
        <v>42076.700000000004</v>
      </c>
      <c r="M10" s="1">
        <v>41022</v>
      </c>
      <c r="N10" s="70">
        <v>37277.525000000001</v>
      </c>
      <c r="O10" s="70">
        <v>49195.53</v>
      </c>
      <c r="P10" s="70">
        <v>44624</v>
      </c>
      <c r="Q10" s="70">
        <v>38772</v>
      </c>
      <c r="R10" s="70">
        <v>18246</v>
      </c>
      <c r="S10" s="70">
        <v>29326.135518104053</v>
      </c>
      <c r="T10" s="70">
        <v>26576.570192264644</v>
      </c>
      <c r="U10" s="70">
        <v>20353.16</v>
      </c>
      <c r="V10" s="70">
        <v>22961.119999999999</v>
      </c>
      <c r="W10" s="1">
        <v>11700</v>
      </c>
      <c r="X10" s="29">
        <v>13647</v>
      </c>
    </row>
    <row r="11" spans="1:24" x14ac:dyDescent="0.25">
      <c r="A11" s="20" t="s">
        <v>10</v>
      </c>
      <c r="B11" s="122" t="str">
        <f t="shared" si="0"/>
        <v/>
      </c>
      <c r="C11" s="106">
        <v>0</v>
      </c>
      <c r="D11" s="1">
        <v>0</v>
      </c>
      <c r="E11" s="91"/>
      <c r="F11" s="1"/>
      <c r="G11" s="1"/>
      <c r="H11" s="1"/>
      <c r="I11" s="1"/>
      <c r="J11" s="1"/>
      <c r="K11" s="1"/>
      <c r="L11" s="1">
        <v>40</v>
      </c>
      <c r="M11" s="1">
        <v>584</v>
      </c>
      <c r="N11" s="70">
        <v>566</v>
      </c>
      <c r="O11" s="70">
        <v>1170</v>
      </c>
      <c r="P11" s="70">
        <v>610</v>
      </c>
      <c r="Q11" s="70">
        <v>2062</v>
      </c>
      <c r="R11" s="70">
        <v>1968</v>
      </c>
      <c r="S11" s="70">
        <v>2010.4653924786141</v>
      </c>
      <c r="T11" s="70">
        <v>528.94189702494305</v>
      </c>
      <c r="U11" s="70">
        <v>2814.24</v>
      </c>
      <c r="V11" s="70">
        <v>3196.52</v>
      </c>
      <c r="W11" s="1">
        <v>2834.8</v>
      </c>
      <c r="X11" s="29">
        <v>3174</v>
      </c>
    </row>
    <row r="12" spans="1:24" x14ac:dyDescent="0.25">
      <c r="A12" s="20" t="s">
        <v>26</v>
      </c>
      <c r="B12" s="122">
        <f t="shared" si="0"/>
        <v>0.20291944494503519</v>
      </c>
      <c r="C12" s="106">
        <v>-13</v>
      </c>
      <c r="D12" s="1">
        <v>-37.200000000000045</v>
      </c>
      <c r="E12" s="91">
        <v>1335</v>
      </c>
      <c r="F12" s="1">
        <v>1109.8</v>
      </c>
      <c r="G12" s="1">
        <v>1343</v>
      </c>
      <c r="H12" s="1">
        <v>1791.7</v>
      </c>
      <c r="I12" s="1">
        <v>3403.9</v>
      </c>
      <c r="J12" s="1">
        <v>1948.8</v>
      </c>
      <c r="K12" s="1">
        <v>3997.2</v>
      </c>
      <c r="L12" s="1">
        <v>4321.6000000000004</v>
      </c>
      <c r="M12" s="1">
        <v>3000</v>
      </c>
      <c r="N12" s="70">
        <v>3915.3</v>
      </c>
      <c r="O12" s="70">
        <v>7313.9</v>
      </c>
      <c r="P12" s="70">
        <v>6991</v>
      </c>
      <c r="Q12" s="70">
        <v>9545</v>
      </c>
      <c r="R12" s="70">
        <v>6035</v>
      </c>
      <c r="S12" s="70">
        <v>9578.2740557916823</v>
      </c>
      <c r="T12" s="70">
        <v>1170.2964932278628</v>
      </c>
      <c r="U12" s="70">
        <v>13220.48</v>
      </c>
      <c r="V12" s="70">
        <v>13752.68</v>
      </c>
      <c r="W12" s="1">
        <v>13549.2</v>
      </c>
      <c r="X12" s="29">
        <v>11577</v>
      </c>
    </row>
    <row r="13" spans="1:24" x14ac:dyDescent="0.25">
      <c r="A13" s="20" t="s">
        <v>49</v>
      </c>
      <c r="B13" s="122" t="str">
        <f t="shared" si="0"/>
        <v/>
      </c>
      <c r="C13" s="106">
        <v>0</v>
      </c>
      <c r="D13" s="1">
        <v>0</v>
      </c>
      <c r="E13" s="91"/>
      <c r="F13" s="1"/>
      <c r="G13" s="1"/>
      <c r="H13" s="1"/>
      <c r="I13" s="1"/>
      <c r="J13" s="1"/>
      <c r="K13" s="1"/>
      <c r="L13" s="1">
        <v>0</v>
      </c>
      <c r="M13" s="1">
        <v>0</v>
      </c>
      <c r="N13" s="70">
        <v>0</v>
      </c>
      <c r="O13" s="70">
        <v>0</v>
      </c>
      <c r="P13" s="70">
        <v>6</v>
      </c>
      <c r="Q13" s="70"/>
      <c r="R13" s="70"/>
      <c r="S13" s="70">
        <v>2.0044520363695058</v>
      </c>
      <c r="T13" s="70">
        <v>0</v>
      </c>
      <c r="U13" s="70">
        <v>2</v>
      </c>
      <c r="V13" s="70">
        <v>3</v>
      </c>
      <c r="W13" s="1">
        <v>0</v>
      </c>
      <c r="X13" s="29">
        <v>13</v>
      </c>
    </row>
    <row r="14" spans="1:24" x14ac:dyDescent="0.25">
      <c r="A14" s="20" t="s">
        <v>104</v>
      </c>
      <c r="B14" s="122">
        <f t="shared" si="0"/>
        <v>4.2018681952172336E-2</v>
      </c>
      <c r="C14" s="106">
        <v>-2439</v>
      </c>
      <c r="D14" s="1">
        <v>-2188.5762689521234</v>
      </c>
      <c r="E14" s="91">
        <v>4875</v>
      </c>
      <c r="F14" s="1">
        <v>4678.4189999999999</v>
      </c>
      <c r="G14" s="1">
        <v>4722.1350000000002</v>
      </c>
      <c r="H14" s="1">
        <v>5236.9367348205433</v>
      </c>
      <c r="I14" s="1">
        <v>7206.095413071529</v>
      </c>
      <c r="J14" s="1">
        <v>8024.2999999999993</v>
      </c>
      <c r="K14" s="1">
        <v>5192.5960628237863</v>
      </c>
      <c r="L14" s="1">
        <v>7615.2</v>
      </c>
      <c r="M14" s="1">
        <v>2624</v>
      </c>
      <c r="N14" s="70">
        <v>8335.43</v>
      </c>
      <c r="O14" s="70">
        <v>10162.19</v>
      </c>
      <c r="P14" s="70">
        <v>14809</v>
      </c>
      <c r="Q14" s="70">
        <v>10837</v>
      </c>
      <c r="R14" s="70">
        <v>11344</v>
      </c>
      <c r="S14" s="70">
        <v>6429.2799066551888</v>
      </c>
      <c r="T14" s="70">
        <v>14051.587397247065</v>
      </c>
      <c r="U14" s="70">
        <v>8328.0400000000009</v>
      </c>
      <c r="V14" s="70">
        <v>23702.27</v>
      </c>
      <c r="W14" s="1">
        <v>12902</v>
      </c>
      <c r="X14" s="29">
        <v>18613</v>
      </c>
    </row>
    <row r="15" spans="1:24" x14ac:dyDescent="0.25">
      <c r="A15" s="20" t="s">
        <v>13</v>
      </c>
      <c r="B15" s="122">
        <f t="shared" si="0"/>
        <v>2.5670116928883793E-2</v>
      </c>
      <c r="C15" s="106">
        <v>-5286</v>
      </c>
      <c r="D15" s="1">
        <v>-5112.3999999999978</v>
      </c>
      <c r="E15" s="91">
        <v>29652</v>
      </c>
      <c r="F15" s="1">
        <v>28909.88</v>
      </c>
      <c r="G15" s="1">
        <v>27668.2</v>
      </c>
      <c r="H15" s="1">
        <v>27921.4</v>
      </c>
      <c r="I15" s="1">
        <v>29030.1</v>
      </c>
      <c r="J15" s="1">
        <v>29930.799999999999</v>
      </c>
      <c r="K15" s="1">
        <v>21278.400000000001</v>
      </c>
      <c r="L15" s="1">
        <v>23283</v>
      </c>
      <c r="M15" s="1"/>
      <c r="N15" s="70"/>
      <c r="O15" s="70"/>
      <c r="P15" s="70"/>
      <c r="Q15" s="70"/>
      <c r="R15" s="70"/>
      <c r="S15" s="70"/>
      <c r="T15" s="70"/>
      <c r="U15" s="70"/>
      <c r="V15" s="70"/>
      <c r="W15" s="1"/>
      <c r="X15" s="29"/>
    </row>
    <row r="16" spans="1:24" x14ac:dyDescent="0.25">
      <c r="A16" s="20" t="s">
        <v>19</v>
      </c>
      <c r="B16" s="122">
        <f t="shared" si="0"/>
        <v>-0.52186074024337203</v>
      </c>
      <c r="C16" s="106">
        <v>-17620</v>
      </c>
      <c r="D16" s="1">
        <v>-20032.814624576931</v>
      </c>
      <c r="E16" s="91">
        <v>20812</v>
      </c>
      <c r="F16" s="1">
        <v>43527.067847541468</v>
      </c>
      <c r="G16" s="1">
        <v>30232.828999999998</v>
      </c>
      <c r="H16" s="1">
        <v>50421.811183317972</v>
      </c>
      <c r="I16" s="1">
        <v>50176.50237526097</v>
      </c>
      <c r="J16" s="1">
        <v>68552.599999999991</v>
      </c>
      <c r="K16" s="1">
        <v>50084.106841427594</v>
      </c>
      <c r="L16" s="1">
        <v>66756.7</v>
      </c>
      <c r="M16" s="1">
        <v>36400</v>
      </c>
      <c r="N16" s="70">
        <v>65665.899999999994</v>
      </c>
      <c r="O16" s="70">
        <v>62788.66</v>
      </c>
      <c r="P16" s="70">
        <v>61368</v>
      </c>
      <c r="Q16" s="70">
        <v>63690</v>
      </c>
      <c r="R16" s="70">
        <v>43299</v>
      </c>
      <c r="S16" s="70">
        <v>48575.890649378598</v>
      </c>
      <c r="T16" s="70">
        <v>49376.274429112098</v>
      </c>
      <c r="U16" s="70">
        <v>64511.67</v>
      </c>
      <c r="V16" s="70">
        <v>53222.61</v>
      </c>
      <c r="W16" s="1">
        <v>34722.5</v>
      </c>
      <c r="X16" s="29">
        <v>59840</v>
      </c>
    </row>
    <row r="17" spans="1:24" x14ac:dyDescent="0.25">
      <c r="A17" s="20" t="s">
        <v>105</v>
      </c>
      <c r="B17" s="122">
        <f t="shared" si="0"/>
        <v>-0.18657537323328127</v>
      </c>
      <c r="C17" s="106">
        <v>-3245</v>
      </c>
      <c r="D17" s="1">
        <v>-3163.8589999999986</v>
      </c>
      <c r="E17" s="91">
        <v>9619</v>
      </c>
      <c r="F17" s="1">
        <v>11825.312</v>
      </c>
      <c r="G17" s="1">
        <v>4109</v>
      </c>
      <c r="H17" s="1">
        <v>12332</v>
      </c>
      <c r="I17" s="1">
        <v>5609</v>
      </c>
      <c r="J17" s="1">
        <v>12071</v>
      </c>
      <c r="K17" s="1">
        <v>6277.2</v>
      </c>
      <c r="L17" s="1">
        <v>12227</v>
      </c>
      <c r="M17" s="1">
        <v>0</v>
      </c>
      <c r="N17" s="70">
        <v>8670.4</v>
      </c>
      <c r="O17" s="70">
        <v>8807.5</v>
      </c>
      <c r="P17" s="70">
        <v>8239</v>
      </c>
      <c r="Q17" s="70">
        <v>5491</v>
      </c>
      <c r="R17" s="70">
        <v>2296</v>
      </c>
      <c r="S17" s="70">
        <v>3550.886782428579</v>
      </c>
      <c r="T17" s="70">
        <v>5993.0020249258732</v>
      </c>
      <c r="U17" s="70">
        <v>4276.1000000000004</v>
      </c>
      <c r="V17" s="70">
        <v>1547.9</v>
      </c>
      <c r="W17" s="1">
        <v>4659.6000000000004</v>
      </c>
      <c r="X17" s="29">
        <v>230</v>
      </c>
    </row>
    <row r="18" spans="1:24" x14ac:dyDescent="0.25">
      <c r="A18" s="20" t="s">
        <v>21</v>
      </c>
      <c r="B18" s="122" t="str">
        <f t="shared" si="0"/>
        <v/>
      </c>
      <c r="C18" s="106">
        <v>0</v>
      </c>
      <c r="D18" s="1">
        <v>0</v>
      </c>
      <c r="E18" s="91"/>
      <c r="F18" s="1"/>
      <c r="G18" s="1"/>
      <c r="H18" s="1"/>
      <c r="I18" s="1"/>
      <c r="J18" s="1"/>
      <c r="K18" s="1"/>
      <c r="L18" s="1">
        <v>407</v>
      </c>
      <c r="M18" s="1">
        <v>671</v>
      </c>
      <c r="N18" s="70">
        <v>4410.3999999999996</v>
      </c>
      <c r="O18" s="70">
        <v>5295.5</v>
      </c>
      <c r="P18" s="70">
        <v>5820</v>
      </c>
      <c r="Q18" s="70">
        <v>3515</v>
      </c>
      <c r="R18" s="70">
        <v>365</v>
      </c>
      <c r="S18" s="70">
        <v>4173.2691397213102</v>
      </c>
      <c r="T18" s="70">
        <v>4684.1970273537181</v>
      </c>
      <c r="U18" s="70">
        <v>2353.65</v>
      </c>
      <c r="V18" s="70">
        <v>3581.78</v>
      </c>
      <c r="W18" s="1">
        <v>989</v>
      </c>
      <c r="X18" s="29">
        <v>5055</v>
      </c>
    </row>
    <row r="19" spans="1:24" ht="13.8" thickBot="1" x14ac:dyDescent="0.3">
      <c r="A19" s="22" t="s">
        <v>58</v>
      </c>
      <c r="B19" s="122">
        <f t="shared" si="0"/>
        <v>0.24343966486110982</v>
      </c>
      <c r="C19" s="105">
        <v>-34278</v>
      </c>
      <c r="D19" s="10">
        <v>-35838.038799469417</v>
      </c>
      <c r="E19" s="94">
        <f>17650+137339</f>
        <v>154989</v>
      </c>
      <c r="F19" s="1">
        <f>21657+102988.372332812</f>
        <v>124645.372332812</v>
      </c>
      <c r="G19" s="1">
        <v>118186.86755025</v>
      </c>
      <c r="H19" s="1">
        <v>82706.157043899933</v>
      </c>
      <c r="I19" s="1">
        <v>61123</v>
      </c>
      <c r="J19" s="1">
        <f>6660+28942</f>
        <v>35602</v>
      </c>
      <c r="K19" s="1">
        <f>(3861+18613)</f>
        <v>22474</v>
      </c>
      <c r="L19" s="1">
        <v>30265</v>
      </c>
      <c r="M19" s="1">
        <v>15409</v>
      </c>
      <c r="N19" s="70">
        <v>35897.199999999997</v>
      </c>
      <c r="O19" s="70">
        <v>28007.599999999999</v>
      </c>
      <c r="P19" s="70">
        <v>26283</v>
      </c>
      <c r="Q19" s="70">
        <v>19644</v>
      </c>
      <c r="R19" s="70">
        <v>7129</v>
      </c>
      <c r="S19" s="70">
        <v>12141.96821030828</v>
      </c>
      <c r="T19" s="70">
        <v>19096.107272858761</v>
      </c>
      <c r="U19" s="70">
        <v>30939</v>
      </c>
      <c r="V19" s="70">
        <v>17817</v>
      </c>
      <c r="W19" s="1">
        <v>14196</v>
      </c>
      <c r="X19" s="29">
        <v>16146</v>
      </c>
    </row>
    <row r="20" spans="1:24" ht="13.8" thickBot="1" x14ac:dyDescent="0.3">
      <c r="A20" s="32" t="s">
        <v>22</v>
      </c>
      <c r="B20" s="111">
        <f t="shared" si="0"/>
        <v>3.2959255414856302E-2</v>
      </c>
      <c r="C20" s="118">
        <v>-207180</v>
      </c>
      <c r="D20" s="34">
        <v>-212387.52656351472</v>
      </c>
      <c r="E20" s="85">
        <f t="shared" ref="E20" si="1">SUM(E2:E19)</f>
        <v>666088</v>
      </c>
      <c r="F20" s="43">
        <f t="shared" ref="F20:G20" si="2">SUM(F2:F19)</f>
        <v>644834.72751544905</v>
      </c>
      <c r="G20" s="43">
        <f t="shared" si="2"/>
        <v>636932.46433729865</v>
      </c>
      <c r="H20" s="43">
        <f t="shared" ref="H20:L20" si="3">SUM(H2:H19)</f>
        <v>544568.30013687396</v>
      </c>
      <c r="I20" s="43">
        <f t="shared" si="3"/>
        <v>619673.19556632405</v>
      </c>
      <c r="J20" s="43">
        <f t="shared" si="3"/>
        <v>607116.19999999995</v>
      </c>
      <c r="K20" s="43">
        <f t="shared" si="3"/>
        <v>556714.00613923301</v>
      </c>
      <c r="L20" s="43">
        <f t="shared" si="3"/>
        <v>692394.59999999986</v>
      </c>
      <c r="M20" s="43">
        <f t="shared" ref="M20:R20" si="4">SUM(M2:M19)</f>
        <v>326613</v>
      </c>
      <c r="N20" s="43">
        <f t="shared" si="4"/>
        <v>673776.64500000014</v>
      </c>
      <c r="O20" s="43">
        <f t="shared" si="4"/>
        <v>681203.5120000001</v>
      </c>
      <c r="P20" s="43">
        <f t="shared" si="4"/>
        <v>707376</v>
      </c>
      <c r="Q20" s="43">
        <f t="shared" si="4"/>
        <v>608664</v>
      </c>
      <c r="R20" s="43">
        <f t="shared" si="4"/>
        <v>472911</v>
      </c>
      <c r="S20" s="43">
        <f t="shared" ref="S20:X20" si="5">SUM(S2:S19)</f>
        <v>596108</v>
      </c>
      <c r="T20" s="43">
        <f t="shared" si="5"/>
        <v>582902</v>
      </c>
      <c r="U20" s="43">
        <f t="shared" si="5"/>
        <v>585606.15999999992</v>
      </c>
      <c r="V20" s="43">
        <f t="shared" si="5"/>
        <v>615685.20000000007</v>
      </c>
      <c r="W20" s="43">
        <f t="shared" si="5"/>
        <v>484917.1</v>
      </c>
      <c r="X20" s="79">
        <f t="shared" si="5"/>
        <v>495348</v>
      </c>
    </row>
    <row r="21" spans="1:24" x14ac:dyDescent="0.25"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</row>
    <row r="22" spans="1:24" ht="13.8" thickBot="1" x14ac:dyDescent="0.3"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</row>
    <row r="23" spans="1:24" ht="13.8" thickBot="1" x14ac:dyDescent="0.3">
      <c r="A23" s="23" t="s">
        <v>24</v>
      </c>
      <c r="B23" s="24" t="s">
        <v>169</v>
      </c>
      <c r="C23" s="114" t="s">
        <v>178</v>
      </c>
      <c r="D23" s="69" t="s">
        <v>170</v>
      </c>
      <c r="E23" s="116">
        <v>46113</v>
      </c>
      <c r="F23" s="99">
        <v>45748</v>
      </c>
      <c r="G23" s="99">
        <v>45383</v>
      </c>
      <c r="H23" s="99">
        <v>45017</v>
      </c>
      <c r="I23" s="99">
        <v>44652</v>
      </c>
      <c r="J23" s="99">
        <v>44287</v>
      </c>
      <c r="K23" s="99">
        <v>43922</v>
      </c>
      <c r="L23" s="99">
        <v>43556</v>
      </c>
      <c r="M23" s="99">
        <v>43191</v>
      </c>
      <c r="N23" s="25">
        <v>42826</v>
      </c>
      <c r="O23" s="25">
        <v>42461</v>
      </c>
      <c r="P23" s="25">
        <v>42095</v>
      </c>
      <c r="Q23" s="25">
        <v>41730</v>
      </c>
      <c r="R23" s="25">
        <v>41365</v>
      </c>
      <c r="S23" s="25">
        <v>41000</v>
      </c>
      <c r="T23" s="25">
        <v>40634</v>
      </c>
      <c r="U23" s="25">
        <v>40269</v>
      </c>
      <c r="V23" s="25">
        <v>39904</v>
      </c>
      <c r="W23" s="25">
        <v>39539</v>
      </c>
      <c r="X23" s="26">
        <v>39173</v>
      </c>
    </row>
    <row r="24" spans="1:24" x14ac:dyDescent="0.25">
      <c r="A24" s="20" t="s">
        <v>102</v>
      </c>
      <c r="B24" s="27">
        <f t="shared" ref="B24:B29" si="6">IFERROR(((E24-F24)/F24),"")</f>
        <v>-0.85175494486818648</v>
      </c>
      <c r="C24" s="106">
        <v>-7391.1573882380108</v>
      </c>
      <c r="D24" s="1">
        <v>-8785.5772914656027</v>
      </c>
      <c r="E24" s="91">
        <v>1200</v>
      </c>
      <c r="F24" s="1">
        <v>8094.7050741962903</v>
      </c>
      <c r="G24" s="1"/>
      <c r="H24" s="1">
        <v>2982.2423111688859</v>
      </c>
      <c r="I24" s="165"/>
      <c r="J24" s="165"/>
      <c r="K24" s="165"/>
      <c r="L24" s="165"/>
      <c r="M24" s="165"/>
      <c r="N24" s="165"/>
      <c r="O24" s="165"/>
      <c r="P24" s="165"/>
      <c r="Q24" s="165"/>
      <c r="R24" s="165"/>
      <c r="S24" s="165"/>
      <c r="T24" s="165"/>
      <c r="U24" s="165"/>
      <c r="V24" s="165"/>
      <c r="W24" s="165"/>
      <c r="X24" s="166"/>
    </row>
    <row r="25" spans="1:24" x14ac:dyDescent="0.25">
      <c r="A25" s="20" t="s">
        <v>7</v>
      </c>
      <c r="B25" s="27">
        <f t="shared" si="6"/>
        <v>-0.14006605049532622</v>
      </c>
      <c r="C25" s="106">
        <v>-1509.3823389517629</v>
      </c>
      <c r="D25" s="1">
        <v>-2193.4158197597289</v>
      </c>
      <c r="E25" s="91">
        <v>2023.8097949818389</v>
      </c>
      <c r="F25" s="1">
        <v>2353.4479550988344</v>
      </c>
      <c r="G25" s="1"/>
      <c r="H25" s="1">
        <v>3957.8836824792888</v>
      </c>
      <c r="I25" s="165"/>
      <c r="J25" s="165"/>
      <c r="K25" s="165"/>
      <c r="L25" s="165"/>
      <c r="M25" s="165"/>
      <c r="N25" s="165"/>
      <c r="O25" s="165"/>
      <c r="P25" s="165"/>
      <c r="Q25" s="165"/>
      <c r="R25" s="165"/>
      <c r="S25" s="165"/>
      <c r="T25" s="165"/>
      <c r="U25" s="165"/>
      <c r="V25" s="165"/>
      <c r="W25" s="165"/>
      <c r="X25" s="166"/>
    </row>
    <row r="26" spans="1:24" x14ac:dyDescent="0.25">
      <c r="A26" s="20" t="s">
        <v>103</v>
      </c>
      <c r="B26" s="27">
        <f t="shared" si="6"/>
        <v>-0.89072831847596368</v>
      </c>
      <c r="C26" s="106">
        <v>-62.216737437174331</v>
      </c>
      <c r="D26" s="1">
        <v>-587.54332757328018</v>
      </c>
      <c r="E26" s="91">
        <v>12.443347487434865</v>
      </c>
      <c r="F26" s="1">
        <v>113.87531805024636</v>
      </c>
      <c r="G26" s="1"/>
      <c r="H26" s="1">
        <v>0</v>
      </c>
      <c r="I26" s="165"/>
      <c r="J26" s="165"/>
      <c r="K26" s="165"/>
      <c r="L26" s="165"/>
      <c r="M26" s="165"/>
      <c r="N26" s="165"/>
      <c r="O26" s="165"/>
      <c r="P26" s="165"/>
      <c r="Q26" s="165"/>
      <c r="R26" s="165"/>
      <c r="S26" s="165"/>
      <c r="T26" s="165"/>
      <c r="U26" s="165"/>
      <c r="V26" s="165"/>
      <c r="W26" s="165"/>
      <c r="X26" s="166"/>
    </row>
    <row r="27" spans="1:24" x14ac:dyDescent="0.25">
      <c r="A27" s="20" t="s">
        <v>29</v>
      </c>
      <c r="B27" s="27">
        <f t="shared" si="6"/>
        <v>-0.67133420405856647</v>
      </c>
      <c r="C27" s="106">
        <v>-1839.4386451016362</v>
      </c>
      <c r="D27" s="1">
        <v>-2209.1115587055065</v>
      </c>
      <c r="E27" s="91">
        <v>500</v>
      </c>
      <c r="F27" s="1">
        <v>1521.302204775508</v>
      </c>
      <c r="G27" s="1"/>
      <c r="H27" s="1">
        <v>563.41082558442429</v>
      </c>
      <c r="I27" s="165"/>
      <c r="J27" s="165"/>
      <c r="K27" s="165"/>
      <c r="L27" s="165"/>
      <c r="M27" s="165"/>
      <c r="N27" s="165"/>
      <c r="O27" s="165"/>
      <c r="P27" s="165"/>
      <c r="Q27" s="165"/>
      <c r="R27" s="165"/>
      <c r="S27" s="165"/>
      <c r="T27" s="165"/>
      <c r="U27" s="165"/>
      <c r="V27" s="165"/>
      <c r="W27" s="165"/>
      <c r="X27" s="166"/>
    </row>
    <row r="28" spans="1:24" ht="13.8" thickBot="1" x14ac:dyDescent="0.3">
      <c r="A28" s="30" t="s">
        <v>58</v>
      </c>
      <c r="B28" s="28">
        <f t="shared" si="6"/>
        <v>-0.38056680161943318</v>
      </c>
      <c r="C28" s="105">
        <v>-2237.9690306643515</v>
      </c>
      <c r="D28" s="10">
        <v>-3725.0155307561727</v>
      </c>
      <c r="E28" s="94">
        <v>1530</v>
      </c>
      <c r="F28" s="1">
        <v>2470</v>
      </c>
      <c r="G28" s="1"/>
      <c r="H28" s="1">
        <v>1070</v>
      </c>
      <c r="I28" s="165"/>
      <c r="J28" s="165"/>
      <c r="K28" s="165"/>
      <c r="L28" s="165"/>
      <c r="M28" s="165"/>
      <c r="N28" s="165"/>
      <c r="O28" s="165"/>
      <c r="P28" s="165"/>
      <c r="Q28" s="165"/>
      <c r="R28" s="165"/>
      <c r="S28" s="165"/>
      <c r="T28" s="165"/>
      <c r="U28" s="165"/>
      <c r="V28" s="165"/>
      <c r="W28" s="165"/>
      <c r="X28" s="166"/>
    </row>
    <row r="29" spans="1:24" ht="13.8" thickBot="1" x14ac:dyDescent="0.3">
      <c r="A29" s="32" t="s">
        <v>22</v>
      </c>
      <c r="B29" s="33">
        <f t="shared" si="6"/>
        <v>-0.63814103420458523</v>
      </c>
      <c r="C29" s="118">
        <v>-13040.164140392937</v>
      </c>
      <c r="D29" s="34">
        <v>-17500.663528260291</v>
      </c>
      <c r="E29" s="85">
        <f>SUM(E24:E28)</f>
        <v>5266.2531424692734</v>
      </c>
      <c r="F29" s="43">
        <f>SUM(F24:F28)</f>
        <v>14553.330552120879</v>
      </c>
      <c r="G29" s="43">
        <f>SUM(G24:G28)</f>
        <v>0</v>
      </c>
      <c r="H29" s="43">
        <f>SUM(H24:H28)</f>
        <v>8573.5368192325986</v>
      </c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8"/>
    </row>
    <row r="30" spans="1:24" x14ac:dyDescent="0.25">
      <c r="B30" s="46" t="s">
        <v>167</v>
      </c>
    </row>
    <row r="36" spans="23:25" ht="17.399999999999999" x14ac:dyDescent="0.3">
      <c r="W36" s="5"/>
      <c r="X36" s="1"/>
      <c r="Y36" s="1"/>
    </row>
    <row r="37" spans="23:25" ht="17.399999999999999" x14ac:dyDescent="0.3">
      <c r="W37" s="5"/>
      <c r="X37" s="1"/>
      <c r="Y37" s="1"/>
    </row>
    <row r="38" spans="23:25" ht="17.399999999999999" x14ac:dyDescent="0.3">
      <c r="W38" s="5"/>
      <c r="X38" s="1"/>
      <c r="Y38" s="1"/>
    </row>
    <row r="39" spans="23:25" ht="17.399999999999999" x14ac:dyDescent="0.3">
      <c r="W39" s="5"/>
      <c r="X39" s="1"/>
      <c r="Y39" s="1"/>
    </row>
    <row r="40" spans="23:25" ht="17.399999999999999" x14ac:dyDescent="0.3">
      <c r="W40" s="5"/>
      <c r="X40" s="1"/>
      <c r="Y40" s="1"/>
    </row>
    <row r="41" spans="23:25" ht="17.399999999999999" x14ac:dyDescent="0.3">
      <c r="W41" s="5"/>
      <c r="X41" s="1"/>
      <c r="Y41" s="1"/>
    </row>
    <row r="42" spans="23:25" ht="17.399999999999999" x14ac:dyDescent="0.3">
      <c r="W42" s="5"/>
      <c r="X42" s="1"/>
      <c r="Y42" s="1"/>
    </row>
    <row r="43" spans="23:25" ht="17.399999999999999" x14ac:dyDescent="0.3">
      <c r="W43" s="5"/>
      <c r="X43" s="1"/>
      <c r="Y43" s="1"/>
    </row>
    <row r="44" spans="23:25" ht="17.399999999999999" x14ac:dyDescent="0.3">
      <c r="W44" s="5"/>
      <c r="X44" s="1"/>
      <c r="Y44" s="1"/>
    </row>
    <row r="45" spans="23:25" ht="17.399999999999999" x14ac:dyDescent="0.3">
      <c r="W45" s="5"/>
      <c r="X45" s="1"/>
      <c r="Y45" s="1"/>
    </row>
    <row r="46" spans="23:25" ht="17.399999999999999" x14ac:dyDescent="0.3">
      <c r="W46" s="6"/>
      <c r="X46" s="1"/>
      <c r="Y46" s="1"/>
    </row>
    <row r="47" spans="23:25" ht="18" x14ac:dyDescent="0.35">
      <c r="W47" s="7"/>
      <c r="X47" s="2"/>
      <c r="Y47" s="2"/>
    </row>
  </sheetData>
  <conditionalFormatting sqref="E1">
    <cfRule type="expression" dxfId="12" priority="2">
      <formula>ISBLANK(XFD1)=FALSE</formula>
    </cfRule>
  </conditionalFormatting>
  <conditionalFormatting sqref="E23">
    <cfRule type="expression" dxfId="11" priority="1">
      <formula>ISBLANK(XFD23)=FALSE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57"/>
  <sheetViews>
    <sheetView zoomScaleNormal="100" workbookViewId="0">
      <selection activeCell="M58" sqref="M58"/>
    </sheetView>
  </sheetViews>
  <sheetFormatPr defaultColWidth="8.6640625" defaultRowHeight="13.2" x14ac:dyDescent="0.25"/>
  <cols>
    <col min="1" max="1" width="19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2" width="11.6640625" customWidth="1"/>
    <col min="13" max="13" width="11.33203125" customWidth="1"/>
    <col min="14" max="14" width="10.6640625" customWidth="1"/>
    <col min="15" max="24" width="10.109375" bestFit="1" customWidth="1"/>
  </cols>
  <sheetData>
    <row r="1" spans="1:24" ht="13.8" thickBot="1" x14ac:dyDescent="0.3">
      <c r="A1" s="38" t="s">
        <v>90</v>
      </c>
      <c r="B1" s="24" t="s">
        <v>169</v>
      </c>
      <c r="C1" s="114" t="s">
        <v>178</v>
      </c>
      <c r="D1" s="69" t="s">
        <v>170</v>
      </c>
      <c r="E1" s="116">
        <v>46113</v>
      </c>
      <c r="F1" s="99">
        <v>45748</v>
      </c>
      <c r="G1" s="99">
        <v>45383</v>
      </c>
      <c r="H1" s="99">
        <v>45017</v>
      </c>
      <c r="I1" s="99">
        <v>44652</v>
      </c>
      <c r="J1" s="99">
        <v>44287</v>
      </c>
      <c r="K1" s="99">
        <v>43922</v>
      </c>
      <c r="L1" s="99">
        <v>43556</v>
      </c>
      <c r="M1" s="99">
        <v>43191</v>
      </c>
      <c r="N1" s="25">
        <v>42826</v>
      </c>
      <c r="O1" s="25">
        <v>42461</v>
      </c>
      <c r="P1" s="25">
        <v>42095</v>
      </c>
      <c r="Q1" s="25">
        <v>41730</v>
      </c>
      <c r="R1" s="25">
        <v>41365</v>
      </c>
      <c r="S1" s="25">
        <v>41000</v>
      </c>
      <c r="T1" s="25">
        <v>40634</v>
      </c>
      <c r="U1" s="25">
        <v>40269</v>
      </c>
      <c r="V1" s="25">
        <v>39904</v>
      </c>
      <c r="W1" s="25">
        <v>39539</v>
      </c>
      <c r="X1" s="26">
        <v>39173</v>
      </c>
    </row>
    <row r="2" spans="1:24" hidden="1" x14ac:dyDescent="0.25">
      <c r="A2" s="39" t="s">
        <v>4</v>
      </c>
      <c r="B2" s="122" t="str">
        <f t="shared" ref="B2:B18" si="0">IFERROR(((E2-F2)/F2),"")</f>
        <v/>
      </c>
      <c r="C2" s="106">
        <v>0</v>
      </c>
      <c r="D2" s="1">
        <v>0</v>
      </c>
      <c r="E2" s="91"/>
      <c r="F2" s="1"/>
      <c r="G2" s="1"/>
      <c r="H2" s="1"/>
      <c r="I2" s="1"/>
      <c r="J2" s="1"/>
      <c r="K2" s="1"/>
      <c r="L2" s="1"/>
      <c r="M2" s="37"/>
      <c r="N2" s="37"/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29">
        <v>0</v>
      </c>
    </row>
    <row r="3" spans="1:24" hidden="1" x14ac:dyDescent="0.25">
      <c r="A3" s="39" t="s">
        <v>32</v>
      </c>
      <c r="B3" s="122" t="str">
        <f t="shared" si="0"/>
        <v/>
      </c>
      <c r="C3" s="106">
        <v>0</v>
      </c>
      <c r="D3" s="1">
        <v>0</v>
      </c>
      <c r="E3" s="91"/>
      <c r="F3" s="1"/>
      <c r="G3" s="1"/>
      <c r="H3" s="1"/>
      <c r="I3" s="1"/>
      <c r="J3" s="1"/>
      <c r="K3" s="1"/>
      <c r="L3" s="1"/>
      <c r="M3" s="1"/>
      <c r="N3" s="1"/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8000</v>
      </c>
      <c r="V3" s="1">
        <v>1000</v>
      </c>
      <c r="W3" s="1">
        <v>0</v>
      </c>
      <c r="X3" s="29">
        <v>5000</v>
      </c>
    </row>
    <row r="4" spans="1:24" hidden="1" x14ac:dyDescent="0.25">
      <c r="A4" s="20" t="s">
        <v>2</v>
      </c>
      <c r="B4" s="122" t="str">
        <f t="shared" si="0"/>
        <v/>
      </c>
      <c r="C4" s="106">
        <v>0</v>
      </c>
      <c r="D4" s="1">
        <v>0</v>
      </c>
      <c r="E4" s="91"/>
      <c r="F4" s="1"/>
      <c r="G4" s="1"/>
      <c r="H4" s="1"/>
      <c r="I4" s="1"/>
      <c r="J4" s="1"/>
      <c r="K4" s="1"/>
      <c r="L4" s="1"/>
      <c r="M4" s="1"/>
      <c r="N4" s="1"/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5000</v>
      </c>
      <c r="V4" s="1">
        <v>1000</v>
      </c>
      <c r="W4" s="1">
        <v>0</v>
      </c>
      <c r="X4" s="29">
        <v>0</v>
      </c>
    </row>
    <row r="5" spans="1:24" x14ac:dyDescent="0.25">
      <c r="A5" s="20" t="s">
        <v>9</v>
      </c>
      <c r="B5" s="122">
        <f t="shared" si="0"/>
        <v>3.1666666666666665</v>
      </c>
      <c r="C5" s="106">
        <v>-15000</v>
      </c>
      <c r="D5" s="1">
        <v>-14000</v>
      </c>
      <c r="E5" s="91">
        <v>25000</v>
      </c>
      <c r="F5" s="1">
        <v>6000</v>
      </c>
      <c r="G5" s="1">
        <v>25000</v>
      </c>
      <c r="H5" s="1">
        <v>30000</v>
      </c>
      <c r="I5" s="1">
        <v>50000</v>
      </c>
      <c r="J5" s="1">
        <v>30000</v>
      </c>
      <c r="K5" s="1">
        <v>15000</v>
      </c>
      <c r="L5" s="1">
        <v>20000</v>
      </c>
      <c r="M5" s="1">
        <v>7000</v>
      </c>
      <c r="N5" s="1">
        <v>10000</v>
      </c>
      <c r="O5" s="1">
        <v>15000</v>
      </c>
      <c r="P5" s="1">
        <v>12000</v>
      </c>
      <c r="Q5" s="1">
        <v>25000</v>
      </c>
      <c r="R5" s="1">
        <v>5000</v>
      </c>
      <c r="S5" s="1">
        <v>5000</v>
      </c>
      <c r="T5" s="1">
        <v>20000</v>
      </c>
      <c r="U5" s="1">
        <v>40000</v>
      </c>
      <c r="V5" s="1">
        <v>15000</v>
      </c>
      <c r="W5" s="1">
        <v>10000</v>
      </c>
      <c r="X5" s="29">
        <v>10000</v>
      </c>
    </row>
    <row r="6" spans="1:24" x14ac:dyDescent="0.25">
      <c r="A6" s="20" t="s">
        <v>14</v>
      </c>
      <c r="B6" s="122">
        <f t="shared" si="0"/>
        <v>0</v>
      </c>
      <c r="C6" s="106">
        <v>-3000</v>
      </c>
      <c r="D6" s="1">
        <v>-4000</v>
      </c>
      <c r="E6" s="91">
        <v>9000</v>
      </c>
      <c r="F6" s="1">
        <v>9000</v>
      </c>
      <c r="G6" s="1">
        <v>7000</v>
      </c>
      <c r="H6" s="1">
        <v>10000</v>
      </c>
      <c r="I6" s="1">
        <v>20000</v>
      </c>
      <c r="J6" s="1">
        <v>45000</v>
      </c>
      <c r="K6" s="1">
        <v>40000</v>
      </c>
      <c r="L6" s="1">
        <v>40000</v>
      </c>
      <c r="M6" s="1">
        <v>40000</v>
      </c>
      <c r="N6" s="1">
        <v>50000</v>
      </c>
      <c r="O6" s="1">
        <v>45000</v>
      </c>
      <c r="P6" s="1">
        <v>40000</v>
      </c>
      <c r="Q6" s="1">
        <v>40000</v>
      </c>
      <c r="R6" s="1">
        <v>40000</v>
      </c>
      <c r="S6" s="1">
        <v>40000</v>
      </c>
      <c r="T6" s="1">
        <v>5000</v>
      </c>
      <c r="U6" s="1">
        <v>8000</v>
      </c>
      <c r="V6" s="1">
        <v>3000</v>
      </c>
      <c r="W6" s="1">
        <v>5000</v>
      </c>
      <c r="X6" s="29">
        <v>8000</v>
      </c>
    </row>
    <row r="7" spans="1:24" x14ac:dyDescent="0.25">
      <c r="A7" s="20" t="s">
        <v>3</v>
      </c>
      <c r="B7" s="122">
        <f t="shared" si="0"/>
        <v>0.31578947368421051</v>
      </c>
      <c r="C7" s="106">
        <v>-10000</v>
      </c>
      <c r="D7" s="1">
        <v>-40000</v>
      </c>
      <c r="E7" s="91">
        <v>125000</v>
      </c>
      <c r="F7" s="1">
        <v>95000</v>
      </c>
      <c r="G7" s="1">
        <v>170000</v>
      </c>
      <c r="H7" s="1">
        <v>110000</v>
      </c>
      <c r="I7" s="1">
        <v>120000</v>
      </c>
      <c r="J7" s="1">
        <v>60000</v>
      </c>
      <c r="K7" s="1">
        <v>60000</v>
      </c>
      <c r="L7" s="1">
        <v>70000</v>
      </c>
      <c r="M7" s="70">
        <v>90000</v>
      </c>
      <c r="N7" s="70">
        <v>95000</v>
      </c>
      <c r="O7" s="70">
        <v>95000</v>
      </c>
      <c r="P7" s="70">
        <v>85000</v>
      </c>
      <c r="Q7" s="70">
        <v>80000</v>
      </c>
      <c r="R7" s="70">
        <v>65000</v>
      </c>
      <c r="S7" s="70">
        <v>50000</v>
      </c>
      <c r="T7" s="70">
        <v>20000</v>
      </c>
      <c r="U7" s="70">
        <v>40000</v>
      </c>
      <c r="V7" s="70">
        <v>30000</v>
      </c>
      <c r="W7" s="1">
        <v>20000</v>
      </c>
      <c r="X7" s="29">
        <v>22000</v>
      </c>
    </row>
    <row r="8" spans="1:24" x14ac:dyDescent="0.25">
      <c r="A8" s="20" t="s">
        <v>10</v>
      </c>
      <c r="B8" s="122">
        <f t="shared" si="0"/>
        <v>0.4375</v>
      </c>
      <c r="C8" s="106">
        <v>-20000</v>
      </c>
      <c r="D8" s="1">
        <v>-25000</v>
      </c>
      <c r="E8" s="91">
        <v>115000</v>
      </c>
      <c r="F8" s="1">
        <v>80000</v>
      </c>
      <c r="G8" s="1">
        <v>85000</v>
      </c>
      <c r="H8" s="1">
        <v>115000</v>
      </c>
      <c r="I8" s="1">
        <v>140000</v>
      </c>
      <c r="J8" s="1">
        <v>140000</v>
      </c>
      <c r="K8" s="1">
        <v>80000</v>
      </c>
      <c r="L8" s="1">
        <v>190000</v>
      </c>
      <c r="M8" s="70">
        <v>70000</v>
      </c>
      <c r="N8" s="70">
        <v>170000</v>
      </c>
      <c r="O8" s="70">
        <v>170000</v>
      </c>
      <c r="P8" s="70">
        <v>140000</v>
      </c>
      <c r="Q8" s="70">
        <v>150000</v>
      </c>
      <c r="R8" s="70">
        <v>130000</v>
      </c>
      <c r="S8" s="70">
        <v>120000</v>
      </c>
      <c r="T8" s="70">
        <v>40000</v>
      </c>
      <c r="U8" s="70">
        <v>60000</v>
      </c>
      <c r="V8" s="70">
        <v>70000</v>
      </c>
      <c r="W8" s="1">
        <v>20000</v>
      </c>
      <c r="X8" s="29">
        <v>40000</v>
      </c>
    </row>
    <row r="9" spans="1:24" x14ac:dyDescent="0.25">
      <c r="A9" s="20" t="s">
        <v>26</v>
      </c>
      <c r="B9" s="122">
        <f t="shared" si="0"/>
        <v>0.2</v>
      </c>
      <c r="C9" s="106">
        <v>-7000</v>
      </c>
      <c r="D9" s="1">
        <v>-10000</v>
      </c>
      <c r="E9" s="91">
        <v>18000</v>
      </c>
      <c r="F9" s="1">
        <v>15000</v>
      </c>
      <c r="G9" s="1">
        <v>15000</v>
      </c>
      <c r="H9" s="1">
        <v>25000</v>
      </c>
      <c r="I9" s="1">
        <v>35000</v>
      </c>
      <c r="J9" s="1">
        <v>40000</v>
      </c>
      <c r="K9" s="1">
        <v>10000</v>
      </c>
      <c r="L9" s="1">
        <v>30000</v>
      </c>
      <c r="M9" s="70">
        <v>10000</v>
      </c>
      <c r="N9" s="70">
        <v>45000</v>
      </c>
      <c r="O9" s="70">
        <v>50000</v>
      </c>
      <c r="P9" s="70">
        <v>40000</v>
      </c>
      <c r="Q9" s="70">
        <v>40000</v>
      </c>
      <c r="R9" s="70">
        <v>40000</v>
      </c>
      <c r="S9" s="70">
        <v>40000</v>
      </c>
      <c r="T9" s="70">
        <v>10000</v>
      </c>
      <c r="U9" s="70">
        <v>30000</v>
      </c>
      <c r="V9" s="70">
        <v>5000</v>
      </c>
      <c r="W9" s="1">
        <v>0</v>
      </c>
      <c r="X9" s="29">
        <v>3000</v>
      </c>
    </row>
    <row r="10" spans="1:24" x14ac:dyDescent="0.25">
      <c r="A10" s="20" t="s">
        <v>155</v>
      </c>
      <c r="B10" s="122">
        <f t="shared" si="0"/>
        <v>-0.1</v>
      </c>
      <c r="C10" s="106">
        <v>-7000</v>
      </c>
      <c r="D10" s="1">
        <v>-10000</v>
      </c>
      <c r="E10" s="91">
        <v>18000</v>
      </c>
      <c r="F10" s="1">
        <v>20000</v>
      </c>
      <c r="G10" s="1">
        <v>18000</v>
      </c>
      <c r="H10" s="1">
        <v>25000</v>
      </c>
      <c r="I10" s="1">
        <v>50000</v>
      </c>
      <c r="J10" s="1">
        <v>45000</v>
      </c>
      <c r="K10" s="1">
        <v>7000</v>
      </c>
      <c r="L10" s="1">
        <v>65000</v>
      </c>
      <c r="M10" s="70">
        <v>30000</v>
      </c>
      <c r="N10" s="70">
        <v>65000</v>
      </c>
      <c r="O10" s="70">
        <v>65000</v>
      </c>
      <c r="P10" s="70">
        <v>60000</v>
      </c>
      <c r="Q10" s="70">
        <v>60000</v>
      </c>
      <c r="R10" s="70">
        <v>60000</v>
      </c>
      <c r="S10" s="70">
        <v>60000</v>
      </c>
      <c r="T10" s="70">
        <v>0</v>
      </c>
      <c r="U10" s="70">
        <v>0</v>
      </c>
      <c r="V10" s="70">
        <v>1000</v>
      </c>
      <c r="W10" s="1">
        <v>0</v>
      </c>
      <c r="X10" s="29">
        <v>0</v>
      </c>
    </row>
    <row r="11" spans="1:24" x14ac:dyDescent="0.25">
      <c r="A11" s="63" t="s">
        <v>33</v>
      </c>
      <c r="B11" s="122" t="str">
        <f t="shared" si="0"/>
        <v/>
      </c>
      <c r="C11" s="106">
        <v>0</v>
      </c>
      <c r="D11" s="1">
        <v>0</v>
      </c>
      <c r="E11" s="91"/>
      <c r="F11" s="1"/>
      <c r="G11" s="1"/>
      <c r="H11" s="1"/>
      <c r="I11" s="1"/>
      <c r="J11" s="1"/>
      <c r="K11" s="1"/>
      <c r="L11" s="1"/>
      <c r="M11" s="70"/>
      <c r="N11" s="70"/>
      <c r="O11" s="70">
        <v>0</v>
      </c>
      <c r="P11" s="70">
        <v>0</v>
      </c>
      <c r="Q11" s="70">
        <v>0</v>
      </c>
      <c r="R11" s="70">
        <v>0</v>
      </c>
      <c r="S11" s="70">
        <v>0</v>
      </c>
      <c r="T11" s="70">
        <v>5000</v>
      </c>
      <c r="U11" s="70">
        <v>26000</v>
      </c>
      <c r="V11" s="70">
        <v>10000</v>
      </c>
      <c r="W11" s="1">
        <v>4000</v>
      </c>
      <c r="X11" s="29">
        <v>5000</v>
      </c>
    </row>
    <row r="12" spans="1:24" x14ac:dyDescent="0.25">
      <c r="A12" s="63" t="s">
        <v>13</v>
      </c>
      <c r="B12" s="122">
        <f t="shared" si="0"/>
        <v>2.75</v>
      </c>
      <c r="C12" s="106">
        <v>-5000</v>
      </c>
      <c r="D12" s="1">
        <v>-8000</v>
      </c>
      <c r="E12" s="91">
        <v>15000</v>
      </c>
      <c r="F12" s="1">
        <v>4000</v>
      </c>
      <c r="G12" s="1">
        <v>20000</v>
      </c>
      <c r="H12" s="1">
        <v>18000</v>
      </c>
      <c r="I12" s="1">
        <v>11000</v>
      </c>
      <c r="J12" s="1">
        <v>7000</v>
      </c>
      <c r="K12" s="1">
        <v>2000</v>
      </c>
      <c r="L12" s="1">
        <v>5000</v>
      </c>
      <c r="M12" s="70"/>
      <c r="N12" s="70"/>
      <c r="O12" s="70">
        <v>0</v>
      </c>
      <c r="P12" s="70">
        <v>0</v>
      </c>
      <c r="Q12" s="70">
        <v>0</v>
      </c>
      <c r="R12" s="70">
        <v>0</v>
      </c>
      <c r="S12" s="70">
        <v>0</v>
      </c>
      <c r="T12" s="70">
        <v>0</v>
      </c>
      <c r="U12" s="70">
        <v>0</v>
      </c>
      <c r="V12" s="70">
        <v>0</v>
      </c>
      <c r="W12" s="1">
        <v>0</v>
      </c>
      <c r="X12" s="29">
        <v>0</v>
      </c>
    </row>
    <row r="13" spans="1:24" x14ac:dyDescent="0.25">
      <c r="A13" s="63" t="s">
        <v>19</v>
      </c>
      <c r="B13" s="122">
        <f t="shared" si="0"/>
        <v>-0.2</v>
      </c>
      <c r="C13" s="106">
        <v>-3000</v>
      </c>
      <c r="D13" s="1">
        <v>-10000</v>
      </c>
      <c r="E13" s="91">
        <v>4000</v>
      </c>
      <c r="F13" s="1">
        <v>5000</v>
      </c>
      <c r="G13" s="1">
        <v>10000</v>
      </c>
      <c r="H13" s="1">
        <v>20000</v>
      </c>
      <c r="I13" s="1">
        <v>6000</v>
      </c>
      <c r="J13" s="1">
        <v>5000</v>
      </c>
      <c r="K13" s="1">
        <v>0</v>
      </c>
      <c r="L13" s="1"/>
      <c r="M13" s="70"/>
      <c r="N13" s="70"/>
      <c r="O13" s="70">
        <v>0</v>
      </c>
      <c r="P13" s="70">
        <v>0</v>
      </c>
      <c r="Q13" s="70">
        <v>0</v>
      </c>
      <c r="R13" s="70">
        <v>0</v>
      </c>
      <c r="S13" s="70">
        <v>0</v>
      </c>
      <c r="T13" s="70">
        <v>0</v>
      </c>
      <c r="U13" s="70">
        <v>3000</v>
      </c>
      <c r="V13" s="70">
        <v>3000</v>
      </c>
      <c r="W13" s="1">
        <v>1000</v>
      </c>
      <c r="X13" s="29">
        <v>1000</v>
      </c>
    </row>
    <row r="14" spans="1:24" x14ac:dyDescent="0.25">
      <c r="A14" s="63" t="s">
        <v>132</v>
      </c>
      <c r="B14" s="122">
        <f t="shared" si="0"/>
        <v>0.53333333333333333</v>
      </c>
      <c r="C14" s="106">
        <v>-20000</v>
      </c>
      <c r="D14" s="1">
        <v>-20000</v>
      </c>
      <c r="E14" s="91">
        <v>115000</v>
      </c>
      <c r="F14" s="1">
        <v>75000</v>
      </c>
      <c r="G14" s="1">
        <v>90000</v>
      </c>
      <c r="H14" s="1">
        <v>140000</v>
      </c>
      <c r="I14" s="1">
        <v>95000</v>
      </c>
      <c r="J14" s="1">
        <v>60000</v>
      </c>
      <c r="K14" s="1">
        <v>40000</v>
      </c>
      <c r="L14" s="1">
        <v>20000</v>
      </c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1"/>
      <c r="X14" s="29"/>
    </row>
    <row r="15" spans="1:24" x14ac:dyDescent="0.25">
      <c r="A15" s="63" t="s">
        <v>88</v>
      </c>
      <c r="B15" s="122">
        <f t="shared" si="0"/>
        <v>0</v>
      </c>
      <c r="C15" s="106">
        <v>-15000</v>
      </c>
      <c r="D15" s="1">
        <v>-15000</v>
      </c>
      <c r="E15" s="91">
        <v>35000</v>
      </c>
      <c r="F15" s="1">
        <v>35000</v>
      </c>
      <c r="G15" s="1">
        <v>35000</v>
      </c>
      <c r="H15" s="1">
        <v>40000</v>
      </c>
      <c r="I15" s="1">
        <v>65000</v>
      </c>
      <c r="J15" s="1">
        <v>50000</v>
      </c>
      <c r="K15" s="1">
        <v>40000</v>
      </c>
      <c r="L15" s="1">
        <v>125000</v>
      </c>
      <c r="M15" s="70">
        <v>35000</v>
      </c>
      <c r="N15" s="70">
        <v>70000</v>
      </c>
      <c r="O15" s="70">
        <v>70000</v>
      </c>
      <c r="P15" s="70">
        <v>65000</v>
      </c>
      <c r="Q15" s="70">
        <v>70000</v>
      </c>
      <c r="R15" s="70">
        <v>50000</v>
      </c>
      <c r="S15" s="70">
        <v>50000</v>
      </c>
      <c r="T15" s="70">
        <v>20000</v>
      </c>
      <c r="U15" s="70">
        <v>20000</v>
      </c>
      <c r="V15" s="70">
        <v>20000</v>
      </c>
      <c r="W15" s="1">
        <v>5000</v>
      </c>
      <c r="X15" s="29">
        <v>10000</v>
      </c>
    </row>
    <row r="16" spans="1:24" x14ac:dyDescent="0.25">
      <c r="A16" s="63" t="s">
        <v>34</v>
      </c>
      <c r="B16" s="122" t="str">
        <f t="shared" si="0"/>
        <v/>
      </c>
      <c r="C16" s="106">
        <v>0</v>
      </c>
      <c r="D16" s="1">
        <v>0</v>
      </c>
      <c r="E16" s="91"/>
      <c r="F16" s="1"/>
      <c r="G16" s="1"/>
      <c r="H16" s="1"/>
      <c r="I16" s="1"/>
      <c r="J16" s="1"/>
      <c r="K16" s="1"/>
      <c r="L16" s="1"/>
      <c r="M16" s="70"/>
      <c r="N16" s="70"/>
      <c r="O16" s="70">
        <v>0</v>
      </c>
      <c r="P16" s="70">
        <v>0</v>
      </c>
      <c r="Q16" s="70"/>
      <c r="R16" s="70"/>
      <c r="S16" s="70">
        <v>0</v>
      </c>
      <c r="T16" s="70">
        <v>0</v>
      </c>
      <c r="U16" s="70">
        <v>0</v>
      </c>
      <c r="V16" s="70">
        <v>1000</v>
      </c>
      <c r="W16" s="1">
        <v>0</v>
      </c>
      <c r="X16" s="29">
        <v>0</v>
      </c>
    </row>
    <row r="17" spans="1:25" ht="13.8" thickBot="1" x14ac:dyDescent="0.3">
      <c r="A17" s="21" t="s">
        <v>58</v>
      </c>
      <c r="B17" s="122">
        <f t="shared" si="0"/>
        <v>-0.14285714285714285</v>
      </c>
      <c r="C17" s="106">
        <v>-10000</v>
      </c>
      <c r="D17" s="1">
        <v>-15000</v>
      </c>
      <c r="E17" s="91">
        <v>30000</v>
      </c>
      <c r="F17" s="1">
        <v>35000</v>
      </c>
      <c r="G17" s="1">
        <v>30000</v>
      </c>
      <c r="H17" s="1">
        <v>30000</v>
      </c>
      <c r="I17" s="1">
        <v>25000</v>
      </c>
      <c r="J17" s="1">
        <v>110000</v>
      </c>
      <c r="K17" s="1">
        <v>35000</v>
      </c>
      <c r="L17" s="1">
        <v>100000</v>
      </c>
      <c r="M17" s="70">
        <v>4000</v>
      </c>
      <c r="N17" s="70">
        <v>75000</v>
      </c>
      <c r="O17" s="70">
        <v>85000</v>
      </c>
      <c r="P17" s="70">
        <v>60000</v>
      </c>
      <c r="Q17" s="70">
        <v>30000</v>
      </c>
      <c r="R17" s="70">
        <v>10000</v>
      </c>
      <c r="S17" s="70">
        <v>20000</v>
      </c>
      <c r="T17" s="70">
        <v>10000</v>
      </c>
      <c r="U17" s="70">
        <v>10000</v>
      </c>
      <c r="V17" s="70">
        <v>5000</v>
      </c>
      <c r="W17" s="1">
        <v>15000</v>
      </c>
      <c r="X17" s="29">
        <v>6000</v>
      </c>
    </row>
    <row r="18" spans="1:25" s="8" customFormat="1" ht="13.8" thickBot="1" x14ac:dyDescent="0.3">
      <c r="A18" s="23" t="s">
        <v>22</v>
      </c>
      <c r="B18" s="111">
        <f t="shared" si="0"/>
        <v>0.34300791556728233</v>
      </c>
      <c r="C18" s="109">
        <v>-115000</v>
      </c>
      <c r="D18" s="43">
        <v>-171000</v>
      </c>
      <c r="E18" s="113">
        <f t="shared" ref="E18" si="1">SUM(E2:E17)</f>
        <v>509000</v>
      </c>
      <c r="F18" s="43">
        <f t="shared" ref="F18:M18" si="2">SUM(F2:F17)</f>
        <v>379000</v>
      </c>
      <c r="G18" s="43">
        <f t="shared" si="2"/>
        <v>505000</v>
      </c>
      <c r="H18" s="43">
        <f t="shared" si="2"/>
        <v>563000</v>
      </c>
      <c r="I18" s="43">
        <f t="shared" si="2"/>
        <v>617000</v>
      </c>
      <c r="J18" s="43">
        <f t="shared" si="2"/>
        <v>592000</v>
      </c>
      <c r="K18" s="43">
        <f t="shared" si="2"/>
        <v>329000</v>
      </c>
      <c r="L18" s="43">
        <f t="shared" si="2"/>
        <v>665000</v>
      </c>
      <c r="M18" s="43">
        <f t="shared" si="2"/>
        <v>286000</v>
      </c>
      <c r="N18" s="43">
        <v>580000</v>
      </c>
      <c r="O18" s="43">
        <v>595000</v>
      </c>
      <c r="P18" s="43">
        <f>SUM(P2:P17)</f>
        <v>502000</v>
      </c>
      <c r="Q18" s="43">
        <f>SUM(Q2:Q17)</f>
        <v>495000</v>
      </c>
      <c r="R18" s="43">
        <f>SUM(R2:R17)</f>
        <v>400000</v>
      </c>
      <c r="S18" s="43">
        <f t="shared" ref="S18:X18" si="3">SUM(S2:S17)</f>
        <v>385000</v>
      </c>
      <c r="T18" s="43">
        <f t="shared" si="3"/>
        <v>130000</v>
      </c>
      <c r="U18" s="43">
        <f t="shared" si="3"/>
        <v>250000</v>
      </c>
      <c r="V18" s="43">
        <f t="shared" si="3"/>
        <v>165000</v>
      </c>
      <c r="W18" s="43">
        <f t="shared" si="3"/>
        <v>80000</v>
      </c>
      <c r="X18" s="79">
        <f t="shared" si="3"/>
        <v>110000</v>
      </c>
    </row>
    <row r="19" spans="1:25" x14ac:dyDescent="0.25">
      <c r="B19" s="36"/>
      <c r="C19" s="36"/>
      <c r="F19" s="36"/>
      <c r="G19" s="36"/>
      <c r="H19" s="36"/>
      <c r="I19" s="36"/>
      <c r="J19" s="36"/>
      <c r="K19" s="36"/>
      <c r="L19" s="36"/>
      <c r="M19" s="36"/>
      <c r="N19" s="36"/>
    </row>
    <row r="20" spans="1:25" ht="13.8" thickBot="1" x14ac:dyDescent="0.3"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</row>
    <row r="21" spans="1:25" ht="13.8" thickBot="1" x14ac:dyDescent="0.3">
      <c r="A21" s="23" t="s">
        <v>24</v>
      </c>
      <c r="B21" s="24" t="s">
        <v>169</v>
      </c>
      <c r="C21" s="114" t="s">
        <v>178</v>
      </c>
      <c r="D21" s="69" t="s">
        <v>170</v>
      </c>
      <c r="E21" s="116">
        <v>46113</v>
      </c>
      <c r="F21" s="99">
        <v>45748</v>
      </c>
      <c r="G21" s="99">
        <v>45383</v>
      </c>
      <c r="H21" s="99">
        <v>45017</v>
      </c>
      <c r="I21" s="99">
        <v>44652</v>
      </c>
      <c r="J21" s="99">
        <v>44287</v>
      </c>
      <c r="K21" s="99">
        <v>43922</v>
      </c>
      <c r="L21" s="99">
        <v>43556</v>
      </c>
      <c r="M21" s="25">
        <v>42826</v>
      </c>
      <c r="N21" s="25">
        <v>42826</v>
      </c>
      <c r="O21" s="25">
        <v>42461</v>
      </c>
      <c r="P21" s="25">
        <v>42095</v>
      </c>
      <c r="Q21" s="25">
        <v>41730</v>
      </c>
      <c r="R21" s="25">
        <v>41365</v>
      </c>
      <c r="S21" s="25">
        <v>41000</v>
      </c>
      <c r="T21" s="25">
        <v>40634</v>
      </c>
      <c r="U21" s="25">
        <v>40269</v>
      </c>
      <c r="V21" s="25">
        <v>39904</v>
      </c>
      <c r="W21" s="25">
        <v>39539</v>
      </c>
      <c r="X21" s="26">
        <v>39173</v>
      </c>
    </row>
    <row r="22" spans="1:25" x14ac:dyDescent="0.25">
      <c r="A22" s="20" t="s">
        <v>7</v>
      </c>
      <c r="B22" s="27">
        <f t="shared" ref="B22:B25" si="4">IFERROR(((E22-F22)/F22),"")</f>
        <v>3</v>
      </c>
      <c r="C22" s="106">
        <v>-7000</v>
      </c>
      <c r="D22" s="1">
        <v>-7000</v>
      </c>
      <c r="E22" s="91">
        <v>8000</v>
      </c>
      <c r="F22" s="1">
        <v>2000</v>
      </c>
      <c r="G22" s="1">
        <v>3500</v>
      </c>
      <c r="H22" s="1">
        <v>1000</v>
      </c>
      <c r="I22" s="1">
        <v>1000</v>
      </c>
      <c r="J22" s="1">
        <v>1000</v>
      </c>
      <c r="K22" s="1">
        <v>0</v>
      </c>
      <c r="L22" s="1">
        <v>0</v>
      </c>
      <c r="M22" s="1">
        <v>0</v>
      </c>
      <c r="N22" s="1">
        <v>0</v>
      </c>
      <c r="O22" s="1">
        <v>1000</v>
      </c>
      <c r="P22" s="1">
        <v>0</v>
      </c>
      <c r="Q22" s="1">
        <v>2000</v>
      </c>
      <c r="R22" s="1">
        <v>0</v>
      </c>
      <c r="S22" s="1">
        <v>0</v>
      </c>
      <c r="T22" s="1">
        <v>0</v>
      </c>
      <c r="U22" s="1">
        <v>4000</v>
      </c>
      <c r="V22" s="1">
        <v>1000</v>
      </c>
      <c r="W22" s="1">
        <v>0</v>
      </c>
      <c r="X22" s="29">
        <v>1500</v>
      </c>
    </row>
    <row r="23" spans="1:25" x14ac:dyDescent="0.25">
      <c r="A23" s="39" t="s">
        <v>92</v>
      </c>
      <c r="B23" s="122" t="str">
        <f t="shared" si="4"/>
        <v/>
      </c>
      <c r="C23" s="106">
        <v>0</v>
      </c>
      <c r="D23" s="1">
        <v>0</v>
      </c>
      <c r="E23" s="91"/>
      <c r="F23" s="1"/>
      <c r="G23" s="1"/>
      <c r="H23" s="1"/>
      <c r="I23" s="1"/>
      <c r="J23" s="1"/>
      <c r="K23" s="1">
        <v>0</v>
      </c>
      <c r="L23" s="1">
        <v>0</v>
      </c>
      <c r="M23" s="1">
        <v>0</v>
      </c>
      <c r="N23" s="1">
        <v>0</v>
      </c>
      <c r="O23" s="1"/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29">
        <v>0</v>
      </c>
    </row>
    <row r="24" spans="1:25" ht="13.8" thickBot="1" x14ac:dyDescent="0.3">
      <c r="A24" s="30" t="s">
        <v>58</v>
      </c>
      <c r="B24" s="28">
        <f t="shared" si="4"/>
        <v>0</v>
      </c>
      <c r="C24" s="105">
        <v>-1500</v>
      </c>
      <c r="D24" s="10">
        <v>-1500</v>
      </c>
      <c r="E24" s="94">
        <v>1000</v>
      </c>
      <c r="F24" s="1">
        <v>1000</v>
      </c>
      <c r="G24" s="1">
        <v>500</v>
      </c>
      <c r="H24" s="1"/>
      <c r="I24" s="1"/>
      <c r="J24" s="1"/>
      <c r="K24" s="1">
        <v>0</v>
      </c>
      <c r="L24" s="1">
        <v>0</v>
      </c>
      <c r="M24" s="1">
        <v>0</v>
      </c>
      <c r="N24" s="1">
        <v>0</v>
      </c>
      <c r="O24" s="1"/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29">
        <v>500</v>
      </c>
    </row>
    <row r="25" spans="1:25" ht="13.8" thickBot="1" x14ac:dyDescent="0.3">
      <c r="A25" s="32" t="s">
        <v>22</v>
      </c>
      <c r="B25" s="33">
        <f t="shared" si="4"/>
        <v>2</v>
      </c>
      <c r="C25" s="118">
        <v>-8500</v>
      </c>
      <c r="D25" s="34">
        <v>-8500</v>
      </c>
      <c r="E25" s="85">
        <f>SUM(E22:E24)</f>
        <v>9000</v>
      </c>
      <c r="F25" s="43">
        <f>SUM(F22:F24)</f>
        <v>3000</v>
      </c>
      <c r="G25" s="43">
        <f>SUM(G22:G24)</f>
        <v>4000</v>
      </c>
      <c r="H25" s="43">
        <v>1000</v>
      </c>
      <c r="I25" s="43">
        <v>1000</v>
      </c>
      <c r="J25" s="43">
        <v>1000</v>
      </c>
      <c r="K25" s="43">
        <f>SUM(K22:K24)</f>
        <v>0</v>
      </c>
      <c r="L25" s="43">
        <v>0</v>
      </c>
      <c r="M25" s="43">
        <f>SUM(M22:M24)</f>
        <v>0</v>
      </c>
      <c r="N25" s="43">
        <f>SUM(N22:N24)</f>
        <v>0</v>
      </c>
      <c r="O25" s="43">
        <v>1000</v>
      </c>
      <c r="P25" s="43">
        <f>SUM(P22:P24)</f>
        <v>0</v>
      </c>
      <c r="Q25" s="43">
        <f>SUM(Q22:Q24)</f>
        <v>2000</v>
      </c>
      <c r="R25" s="43">
        <f>SUM(R22:R24)</f>
        <v>0</v>
      </c>
      <c r="S25" s="43">
        <f t="shared" ref="S25:X25" si="5">SUM(S22:S24)</f>
        <v>0</v>
      </c>
      <c r="T25" s="43">
        <f t="shared" si="5"/>
        <v>0</v>
      </c>
      <c r="U25" s="43">
        <f t="shared" si="5"/>
        <v>4000</v>
      </c>
      <c r="V25" s="43">
        <f t="shared" si="5"/>
        <v>1000</v>
      </c>
      <c r="W25" s="43">
        <f t="shared" si="5"/>
        <v>0</v>
      </c>
      <c r="X25" s="79">
        <f t="shared" si="5"/>
        <v>2000</v>
      </c>
    </row>
    <row r="27" spans="1:25" x14ac:dyDescent="0.25">
      <c r="B27" s="3" t="s">
        <v>174</v>
      </c>
    </row>
    <row r="28" spans="1:25" x14ac:dyDescent="0.25">
      <c r="B28" s="3" t="s">
        <v>175</v>
      </c>
    </row>
    <row r="32" spans="1:25" ht="17.399999999999999" x14ac:dyDescent="0.3">
      <c r="W32" s="5"/>
      <c r="X32" s="1"/>
      <c r="Y32" s="1"/>
    </row>
    <row r="33" spans="5:14" x14ac:dyDescent="0.25">
      <c r="E33">
        <v>2026</v>
      </c>
      <c r="F33">
        <v>2025</v>
      </c>
      <c r="G33">
        <v>2024</v>
      </c>
      <c r="H33">
        <v>2023</v>
      </c>
      <c r="I33">
        <v>2022</v>
      </c>
      <c r="J33">
        <v>2021</v>
      </c>
      <c r="K33">
        <v>2020</v>
      </c>
      <c r="L33">
        <v>2019</v>
      </c>
      <c r="M33">
        <v>2018</v>
      </c>
      <c r="N33">
        <v>2017</v>
      </c>
    </row>
    <row r="34" spans="5:14" x14ac:dyDescent="0.25">
      <c r="E34" s="1">
        <v>509000</v>
      </c>
      <c r="F34" s="1">
        <v>379000</v>
      </c>
      <c r="G34" s="1">
        <v>505000</v>
      </c>
      <c r="H34" s="1">
        <v>563000</v>
      </c>
      <c r="I34" s="1">
        <v>617000</v>
      </c>
      <c r="J34" s="1">
        <v>592000</v>
      </c>
      <c r="K34" s="1">
        <v>329000</v>
      </c>
      <c r="L34" s="1">
        <v>665000</v>
      </c>
      <c r="M34" s="1">
        <v>286000</v>
      </c>
      <c r="N34" s="1">
        <v>580000</v>
      </c>
    </row>
    <row r="55" spans="5:9" x14ac:dyDescent="0.25">
      <c r="F55" t="s">
        <v>180</v>
      </c>
      <c r="G55" t="s">
        <v>181</v>
      </c>
      <c r="H55" t="s">
        <v>182</v>
      </c>
      <c r="I55" t="s">
        <v>183</v>
      </c>
    </row>
    <row r="56" spans="5:9" x14ac:dyDescent="0.25">
      <c r="E56" t="s">
        <v>184</v>
      </c>
      <c r="F56" s="1">
        <v>928000</v>
      </c>
      <c r="G56" s="1">
        <v>739000</v>
      </c>
      <c r="H56" s="1">
        <v>550000</v>
      </c>
      <c r="I56" s="1">
        <v>379000</v>
      </c>
    </row>
    <row r="57" spans="5:9" x14ac:dyDescent="0.25">
      <c r="E57" t="s">
        <v>185</v>
      </c>
      <c r="F57" s="1">
        <v>1055000</v>
      </c>
      <c r="G57" s="1">
        <v>836000</v>
      </c>
      <c r="H57" s="1">
        <v>624000</v>
      </c>
      <c r="I57" s="1">
        <v>509000</v>
      </c>
    </row>
  </sheetData>
  <conditionalFormatting sqref="E1 E21">
    <cfRule type="expression" dxfId="10" priority="2">
      <formula>ISBLANK(XFD1)=FALSE</formula>
    </cfRule>
  </conditionalFormatting>
  <pageMargins left="0.75" right="0.75" top="1" bottom="1" header="0.5" footer="0.5"/>
  <pageSetup paperSize="9" orientation="portrait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15"/>
  <sheetViews>
    <sheetView zoomScaleNormal="60" workbookViewId="0"/>
  </sheetViews>
  <sheetFormatPr defaultColWidth="8.6640625" defaultRowHeight="13.2" x14ac:dyDescent="0.25"/>
  <cols>
    <col min="1" max="1" width="22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2" width="11.6640625" customWidth="1"/>
    <col min="13" max="13" width="11.6640625" bestFit="1" customWidth="1"/>
    <col min="14" max="14" width="10.109375" customWidth="1"/>
    <col min="15" max="22" width="10.6640625" customWidth="1"/>
  </cols>
  <sheetData>
    <row r="1" spans="1:22" ht="13.8" thickBot="1" x14ac:dyDescent="0.3">
      <c r="A1" s="38" t="s">
        <v>90</v>
      </c>
      <c r="B1" s="24" t="s">
        <v>169</v>
      </c>
      <c r="C1" s="114" t="s">
        <v>178</v>
      </c>
      <c r="D1" s="69" t="s">
        <v>170</v>
      </c>
      <c r="E1" s="116">
        <v>46113</v>
      </c>
      <c r="F1" s="99">
        <v>45748</v>
      </c>
      <c r="G1" s="99">
        <v>45383</v>
      </c>
      <c r="H1" s="99">
        <v>45017</v>
      </c>
      <c r="I1" s="99">
        <v>44652</v>
      </c>
      <c r="J1" s="99">
        <v>44287</v>
      </c>
      <c r="K1" s="99">
        <v>43922</v>
      </c>
      <c r="L1" s="99">
        <v>43556</v>
      </c>
      <c r="M1" s="99">
        <v>43191</v>
      </c>
      <c r="N1" s="25">
        <v>42826</v>
      </c>
      <c r="O1" s="25">
        <v>42461</v>
      </c>
      <c r="P1" s="25">
        <v>42095</v>
      </c>
      <c r="Q1" s="25">
        <v>41730</v>
      </c>
      <c r="R1" s="25">
        <v>41365</v>
      </c>
      <c r="S1" s="25">
        <v>41000</v>
      </c>
      <c r="T1" s="25">
        <v>40634</v>
      </c>
      <c r="U1" s="25">
        <v>40269</v>
      </c>
      <c r="V1" s="26">
        <v>39904</v>
      </c>
    </row>
    <row r="2" spans="1:22" x14ac:dyDescent="0.25">
      <c r="A2" s="39" t="s">
        <v>9</v>
      </c>
      <c r="B2" s="44" t="str">
        <f t="shared" ref="B2:B9" si="0">IFERROR(((E2-F2)/F2),"")</f>
        <v/>
      </c>
      <c r="C2" s="95"/>
      <c r="D2" s="100"/>
      <c r="E2" s="104"/>
      <c r="F2" s="100"/>
      <c r="G2" s="100"/>
      <c r="H2" s="100"/>
      <c r="I2" s="100"/>
      <c r="J2" s="100"/>
      <c r="K2" s="100"/>
      <c r="L2" s="100"/>
      <c r="M2" s="37"/>
      <c r="N2" s="37"/>
      <c r="O2" s="37"/>
      <c r="P2" s="37"/>
      <c r="Q2" s="37"/>
      <c r="R2" s="37"/>
      <c r="S2" s="37"/>
      <c r="T2" s="37"/>
      <c r="U2" s="37"/>
      <c r="V2" s="59"/>
    </row>
    <row r="3" spans="1:22" x14ac:dyDescent="0.25">
      <c r="A3" s="39" t="s">
        <v>148</v>
      </c>
      <c r="B3" s="44" t="str">
        <f t="shared" si="0"/>
        <v/>
      </c>
      <c r="C3" s="95"/>
      <c r="D3" s="100"/>
      <c r="E3" s="104"/>
      <c r="F3" s="100"/>
      <c r="G3" s="100"/>
      <c r="H3" s="100"/>
      <c r="I3" s="100"/>
      <c r="J3" s="100"/>
      <c r="K3" s="100"/>
      <c r="L3" s="100"/>
      <c r="M3" s="37"/>
      <c r="N3" s="37"/>
      <c r="O3" s="37"/>
      <c r="P3" s="37"/>
      <c r="Q3" s="37"/>
      <c r="R3" s="37"/>
      <c r="S3" s="37"/>
      <c r="T3" s="37"/>
      <c r="U3" s="37"/>
      <c r="V3" s="59"/>
    </row>
    <row r="4" spans="1:22" x14ac:dyDescent="0.25">
      <c r="A4" s="39" t="s">
        <v>26</v>
      </c>
      <c r="B4" s="44" t="str">
        <f t="shared" si="0"/>
        <v/>
      </c>
      <c r="C4" s="95"/>
      <c r="D4" s="100"/>
      <c r="E4" s="104"/>
      <c r="F4" s="100"/>
      <c r="G4" s="100"/>
      <c r="H4" s="100"/>
      <c r="I4" s="100"/>
      <c r="J4" s="100"/>
      <c r="K4" s="100"/>
      <c r="L4" s="100"/>
      <c r="M4" s="37"/>
      <c r="N4" s="37"/>
      <c r="O4" s="37"/>
      <c r="P4" s="37"/>
      <c r="Q4" s="37"/>
      <c r="R4" s="37"/>
      <c r="S4" s="37"/>
      <c r="T4" s="37"/>
      <c r="U4" s="37"/>
      <c r="V4" s="59"/>
    </row>
    <row r="5" spans="1:22" x14ac:dyDescent="0.25">
      <c r="A5" s="39" t="s">
        <v>25</v>
      </c>
      <c r="B5" s="44" t="str">
        <f t="shared" si="0"/>
        <v/>
      </c>
      <c r="C5" s="95"/>
      <c r="D5" s="100"/>
      <c r="E5" s="104"/>
      <c r="F5" s="100"/>
      <c r="G5" s="100"/>
      <c r="H5" s="100"/>
      <c r="I5" s="100"/>
      <c r="J5" s="100"/>
      <c r="K5" s="100"/>
      <c r="L5" s="100"/>
      <c r="M5" s="37"/>
      <c r="N5" s="37"/>
      <c r="O5" s="37"/>
      <c r="P5" s="37"/>
      <c r="Q5" s="37"/>
      <c r="R5" s="37"/>
      <c r="S5" s="37"/>
      <c r="T5" s="37"/>
      <c r="U5" s="37"/>
      <c r="V5" s="59"/>
    </row>
    <row r="6" spans="1:22" x14ac:dyDescent="0.25">
      <c r="A6" s="39" t="s">
        <v>19</v>
      </c>
      <c r="B6" s="44" t="str">
        <f t="shared" si="0"/>
        <v/>
      </c>
      <c r="C6" s="95"/>
      <c r="D6" s="100"/>
      <c r="E6" s="104"/>
      <c r="F6" s="100"/>
      <c r="G6" s="100"/>
      <c r="H6" s="100"/>
      <c r="I6" s="100"/>
      <c r="J6" s="100"/>
      <c r="K6" s="100"/>
      <c r="L6" s="100"/>
      <c r="M6" s="37"/>
      <c r="N6" s="37"/>
      <c r="O6" s="37"/>
      <c r="P6" s="37"/>
      <c r="Q6" s="37"/>
      <c r="R6" s="37"/>
      <c r="S6" s="37"/>
      <c r="T6" s="37"/>
      <c r="U6" s="37"/>
      <c r="V6" s="59"/>
    </row>
    <row r="7" spans="1:22" x14ac:dyDescent="0.25">
      <c r="A7" s="39" t="s">
        <v>87</v>
      </c>
      <c r="B7" s="44" t="str">
        <f t="shared" si="0"/>
        <v/>
      </c>
      <c r="C7" s="95"/>
      <c r="D7" s="100"/>
      <c r="E7" s="104"/>
      <c r="F7" s="100"/>
      <c r="G7" s="100"/>
      <c r="H7" s="100"/>
      <c r="I7" s="100"/>
      <c r="J7" s="100"/>
      <c r="K7" s="100"/>
      <c r="L7" s="100"/>
      <c r="M7" s="37"/>
      <c r="N7" s="37"/>
      <c r="O7" s="37"/>
      <c r="P7" s="37"/>
      <c r="Q7" s="37"/>
      <c r="R7" s="37"/>
      <c r="S7" s="37"/>
      <c r="T7" s="37"/>
      <c r="U7" s="37"/>
      <c r="V7" s="59"/>
    </row>
    <row r="8" spans="1:22" ht="13.8" thickBot="1" x14ac:dyDescent="0.3">
      <c r="A8" s="40" t="s">
        <v>6</v>
      </c>
      <c r="B8" s="45" t="str">
        <f t="shared" si="0"/>
        <v/>
      </c>
      <c r="C8" s="155"/>
      <c r="D8" s="156"/>
      <c r="E8" s="157"/>
      <c r="F8" s="100"/>
      <c r="G8" s="100"/>
      <c r="H8" s="100"/>
      <c r="I8" s="100"/>
      <c r="J8" s="100"/>
      <c r="K8" s="100"/>
      <c r="L8" s="100"/>
      <c r="M8" s="37"/>
      <c r="N8" s="37"/>
      <c r="O8" s="37"/>
      <c r="P8" s="37"/>
      <c r="Q8" s="37"/>
      <c r="R8" s="37"/>
      <c r="S8" s="37"/>
      <c r="T8" s="37"/>
      <c r="U8" s="37"/>
      <c r="V8" s="59"/>
    </row>
    <row r="9" spans="1:22" ht="13.8" thickBot="1" x14ac:dyDescent="0.3">
      <c r="A9" s="41" t="s">
        <v>91</v>
      </c>
      <c r="B9" s="68" t="str">
        <f t="shared" si="0"/>
        <v/>
      </c>
      <c r="C9" s="158"/>
      <c r="D9" s="159"/>
      <c r="E9" s="160"/>
      <c r="F9" s="101"/>
      <c r="G9" s="101"/>
      <c r="H9" s="101"/>
      <c r="I9" s="101"/>
      <c r="J9" s="101"/>
      <c r="K9" s="101"/>
      <c r="L9" s="101"/>
      <c r="M9" s="43"/>
      <c r="N9" s="43"/>
      <c r="O9" s="43"/>
      <c r="P9" s="43"/>
      <c r="Q9" s="43"/>
      <c r="R9" s="43"/>
      <c r="S9" s="43"/>
      <c r="T9" s="43"/>
      <c r="U9" s="43"/>
      <c r="V9" s="79"/>
    </row>
    <row r="11" spans="1:22" ht="13.8" thickBot="1" x14ac:dyDescent="0.3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13.8" thickBot="1" x14ac:dyDescent="0.3">
      <c r="A12" s="47" t="s">
        <v>90</v>
      </c>
      <c r="B12" s="24" t="s">
        <v>169</v>
      </c>
      <c r="C12" s="114" t="s">
        <v>178</v>
      </c>
      <c r="D12" s="69" t="s">
        <v>170</v>
      </c>
      <c r="E12" s="116">
        <v>46113</v>
      </c>
      <c r="F12" s="99">
        <v>45748</v>
      </c>
      <c r="G12" s="99">
        <v>45383</v>
      </c>
      <c r="H12" s="99">
        <v>45017</v>
      </c>
      <c r="I12" s="99">
        <v>44652</v>
      </c>
      <c r="J12" s="99">
        <v>44287</v>
      </c>
      <c r="K12" s="99">
        <v>43922</v>
      </c>
      <c r="L12" s="99">
        <v>43556</v>
      </c>
      <c r="M12" s="99">
        <v>43191</v>
      </c>
      <c r="N12" s="25">
        <v>42826</v>
      </c>
      <c r="O12" s="88">
        <v>42461</v>
      </c>
      <c r="P12" s="88">
        <v>42095</v>
      </c>
      <c r="Q12" s="88">
        <v>41730</v>
      </c>
      <c r="R12" s="88">
        <v>41365</v>
      </c>
      <c r="S12" s="88">
        <v>41000</v>
      </c>
      <c r="T12" s="88">
        <v>40634</v>
      </c>
      <c r="U12" s="88">
        <v>40269</v>
      </c>
      <c r="V12" s="89">
        <v>39904</v>
      </c>
    </row>
    <row r="13" spans="1:22" ht="13.8" thickBot="1" x14ac:dyDescent="0.3">
      <c r="A13" s="48" t="s">
        <v>146</v>
      </c>
      <c r="B13" s="49" t="str">
        <f t="shared" ref="B13:B14" si="1">IFERROR(((E13-F13)/F13),"")</f>
        <v/>
      </c>
      <c r="C13" s="161"/>
      <c r="D13" s="50">
        <v>-35838</v>
      </c>
      <c r="E13" s="115"/>
      <c r="F13" s="102"/>
      <c r="G13" s="102"/>
      <c r="H13" s="102"/>
      <c r="I13" s="102"/>
      <c r="J13" s="102"/>
      <c r="K13" s="102"/>
      <c r="L13" s="110">
        <v>24870</v>
      </c>
      <c r="M13" s="50"/>
      <c r="N13" s="50"/>
      <c r="O13" s="50"/>
      <c r="P13" s="50"/>
      <c r="Q13" s="50"/>
      <c r="R13" s="50"/>
      <c r="S13" s="50"/>
      <c r="T13" s="50">
        <v>7940</v>
      </c>
      <c r="U13" s="50"/>
      <c r="V13" s="60"/>
    </row>
    <row r="14" spans="1:22" ht="13.8" thickBot="1" x14ac:dyDescent="0.3">
      <c r="A14" s="47" t="s">
        <v>91</v>
      </c>
      <c r="B14" s="56" t="str">
        <f t="shared" si="1"/>
        <v/>
      </c>
      <c r="C14" s="109"/>
      <c r="D14" s="74">
        <v>-35838</v>
      </c>
      <c r="E14" s="57"/>
      <c r="F14" s="103"/>
      <c r="G14" s="103"/>
      <c r="H14" s="103"/>
      <c r="I14" s="103"/>
      <c r="J14" s="103"/>
      <c r="K14" s="103"/>
      <c r="L14" s="43">
        <v>24870</v>
      </c>
      <c r="M14" s="74"/>
      <c r="N14" s="74"/>
      <c r="O14" s="74"/>
      <c r="P14" s="74"/>
      <c r="Q14" s="74"/>
      <c r="R14" s="74"/>
      <c r="S14" s="74"/>
      <c r="T14" s="74">
        <f>SUM(T13:T13)</f>
        <v>7940</v>
      </c>
      <c r="U14" s="74"/>
      <c r="V14" s="75"/>
    </row>
    <row r="15" spans="1:22" x14ac:dyDescent="0.25">
      <c r="B15" s="3" t="s">
        <v>176</v>
      </c>
    </row>
  </sheetData>
  <conditionalFormatting sqref="E1">
    <cfRule type="expression" dxfId="9" priority="2">
      <formula>ISBLANK(XFD1)=FALSE</formula>
    </cfRule>
  </conditionalFormatting>
  <conditionalFormatting sqref="E12">
    <cfRule type="expression" dxfId="8" priority="1">
      <formula>ISBLANK(XFD12)=FALSE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B35"/>
  <sheetViews>
    <sheetView zoomScaleNormal="77" workbookViewId="0"/>
  </sheetViews>
  <sheetFormatPr defaultColWidth="8.6640625" defaultRowHeight="13.2" x14ac:dyDescent="0.25"/>
  <cols>
    <col min="1" max="1" width="18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3" width="11.6640625" customWidth="1"/>
    <col min="14" max="14" width="10.6640625" customWidth="1"/>
    <col min="15" max="24" width="10.109375" bestFit="1" customWidth="1"/>
  </cols>
  <sheetData>
    <row r="1" spans="1:28" ht="13.8" thickBot="1" x14ac:dyDescent="0.3">
      <c r="A1" s="38" t="s">
        <v>90</v>
      </c>
      <c r="B1" s="24" t="s">
        <v>169</v>
      </c>
      <c r="C1" s="114" t="s">
        <v>178</v>
      </c>
      <c r="D1" s="69" t="s">
        <v>170</v>
      </c>
      <c r="E1" s="116">
        <v>46113</v>
      </c>
      <c r="F1" s="99">
        <v>45748</v>
      </c>
      <c r="G1" s="99">
        <v>45383</v>
      </c>
      <c r="H1" s="99">
        <v>45017</v>
      </c>
      <c r="I1" s="99">
        <v>44652</v>
      </c>
      <c r="J1" s="99">
        <v>44287</v>
      </c>
      <c r="K1" s="99">
        <v>43922</v>
      </c>
      <c r="L1" s="99">
        <v>43556</v>
      </c>
      <c r="M1" s="99">
        <v>43191</v>
      </c>
      <c r="N1" s="25">
        <v>42826</v>
      </c>
      <c r="O1" s="25">
        <v>42461</v>
      </c>
      <c r="P1" s="25">
        <v>42095</v>
      </c>
      <c r="Q1" s="25">
        <v>41730</v>
      </c>
      <c r="R1" s="25">
        <v>41365</v>
      </c>
      <c r="S1" s="25">
        <v>41000</v>
      </c>
      <c r="T1" s="25">
        <v>40634</v>
      </c>
      <c r="U1" s="25">
        <v>40269</v>
      </c>
      <c r="V1" s="25">
        <v>39904</v>
      </c>
      <c r="W1" s="25">
        <v>39539</v>
      </c>
      <c r="X1" s="26">
        <v>39173</v>
      </c>
    </row>
    <row r="2" spans="1:28" x14ac:dyDescent="0.25">
      <c r="A2" s="20" t="s">
        <v>107</v>
      </c>
      <c r="B2" s="27">
        <f t="shared" ref="B2:B8" si="0">IFERROR(((E2-F2)/F2),"")</f>
        <v>-0.23816458637161952</v>
      </c>
      <c r="C2" s="106">
        <v>-2596.8509710454427</v>
      </c>
      <c r="D2" s="1">
        <v>-4227.5392497906287</v>
      </c>
      <c r="E2" s="91">
        <v>6397.221825870366</v>
      </c>
      <c r="F2" s="1">
        <v>8397.1179488787839</v>
      </c>
      <c r="G2" s="1">
        <v>4469</v>
      </c>
      <c r="H2" s="1">
        <v>6992.9191549953293</v>
      </c>
      <c r="I2" s="1">
        <v>11428.674162508429</v>
      </c>
      <c r="J2" s="1">
        <v>9280.882044707083</v>
      </c>
      <c r="K2" s="1">
        <v>12623.504919886429</v>
      </c>
      <c r="L2" s="1">
        <v>13685</v>
      </c>
      <c r="M2" s="1">
        <v>8049</v>
      </c>
      <c r="N2" s="1">
        <v>12353.476822938994</v>
      </c>
      <c r="O2" s="1">
        <v>9159.9221072480686</v>
      </c>
      <c r="P2" s="1">
        <v>6593.4494254420752</v>
      </c>
      <c r="Q2" s="1">
        <v>9089.708825431735</v>
      </c>
      <c r="R2" s="1">
        <v>2973.3180716023885</v>
      </c>
      <c r="S2" s="1">
        <v>4926.9641789036459</v>
      </c>
      <c r="T2" s="1">
        <v>4965</v>
      </c>
      <c r="U2" s="1">
        <v>3662.8560263741479</v>
      </c>
      <c r="V2" s="1">
        <v>5371.9196389458839</v>
      </c>
      <c r="W2" s="1">
        <v>5907</v>
      </c>
      <c r="X2" s="29">
        <v>1714</v>
      </c>
    </row>
    <row r="3" spans="1:28" x14ac:dyDescent="0.25">
      <c r="A3" s="20" t="s">
        <v>108</v>
      </c>
      <c r="B3" s="27">
        <f t="shared" si="0"/>
        <v>3.503114807171539</v>
      </c>
      <c r="C3" s="106">
        <v>-300.89688783866006</v>
      </c>
      <c r="D3" s="1">
        <v>-713.01653735959098</v>
      </c>
      <c r="E3" s="91">
        <v>665.31194230649953</v>
      </c>
      <c r="F3" s="1">
        <v>147.74483236513129</v>
      </c>
      <c r="G3" s="1">
        <v>321</v>
      </c>
      <c r="H3" s="1">
        <v>37.462210901146491</v>
      </c>
      <c r="I3" s="1">
        <v>720.6076307336491</v>
      </c>
      <c r="J3" s="1">
        <v>793.03503028123885</v>
      </c>
      <c r="K3" s="1">
        <v>527.07401825552222</v>
      </c>
      <c r="L3" s="1">
        <v>1886</v>
      </c>
      <c r="M3" s="1">
        <v>411</v>
      </c>
      <c r="N3" s="1">
        <v>1843.6643367313832</v>
      </c>
      <c r="O3" s="1">
        <v>168.6396309084158</v>
      </c>
      <c r="P3" s="1">
        <v>1874.4850692532573</v>
      </c>
      <c r="Q3" s="1">
        <v>86.666772737025809</v>
      </c>
      <c r="R3" s="1">
        <v>0</v>
      </c>
      <c r="S3" s="1">
        <v>39.728056577929252</v>
      </c>
      <c r="T3" s="1">
        <v>632</v>
      </c>
      <c r="U3" s="1">
        <v>461.90494654432018</v>
      </c>
      <c r="V3" s="1">
        <v>1071.934335712263</v>
      </c>
      <c r="W3" s="1">
        <v>1103</v>
      </c>
      <c r="X3" s="29">
        <v>251</v>
      </c>
    </row>
    <row r="4" spans="1:28" x14ac:dyDescent="0.25">
      <c r="A4" s="20" t="s">
        <v>109</v>
      </c>
      <c r="B4" s="27">
        <f t="shared" si="0"/>
        <v>-0.17178465701813148</v>
      </c>
      <c r="C4" s="106">
        <v>-15063.106046959241</v>
      </c>
      <c r="D4" s="1">
        <v>-16887.249064573567</v>
      </c>
      <c r="E4" s="91">
        <v>57540.276184324881</v>
      </c>
      <c r="F4" s="1">
        <v>69475.018389733654</v>
      </c>
      <c r="G4" s="1">
        <v>74251</v>
      </c>
      <c r="H4" s="1">
        <v>49004.889611938255</v>
      </c>
      <c r="I4" s="1">
        <v>87474.698108180164</v>
      </c>
      <c r="J4" s="1">
        <v>51263.475662377328</v>
      </c>
      <c r="K4" s="1">
        <v>97811.951022899419</v>
      </c>
      <c r="L4" s="1">
        <v>69063</v>
      </c>
      <c r="M4" s="1">
        <v>59446</v>
      </c>
      <c r="N4" s="1">
        <v>90766.98311930777</v>
      </c>
      <c r="O4" s="1">
        <v>59720.765304653556</v>
      </c>
      <c r="P4" s="1">
        <v>76319.571764948763</v>
      </c>
      <c r="Q4" s="1">
        <v>68690.554970931975</v>
      </c>
      <c r="R4" s="1">
        <v>42646.577633529509</v>
      </c>
      <c r="S4" s="1">
        <v>76693.33218499599</v>
      </c>
      <c r="T4" s="1">
        <v>70768</v>
      </c>
      <c r="U4" s="1">
        <v>58498.115556001947</v>
      </c>
      <c r="V4" s="1">
        <v>82998.669903147631</v>
      </c>
      <c r="W4" s="1">
        <v>60475</v>
      </c>
      <c r="X4" s="29">
        <v>53537</v>
      </c>
    </row>
    <row r="5" spans="1:28" x14ac:dyDescent="0.25">
      <c r="A5" s="20" t="s">
        <v>17</v>
      </c>
      <c r="B5" s="27">
        <f t="shared" si="0"/>
        <v>3.8729197948634712E-2</v>
      </c>
      <c r="C5" s="106">
        <v>-2585.5537541001395</v>
      </c>
      <c r="D5" s="1">
        <v>-2908.5468222815471</v>
      </c>
      <c r="E5" s="91">
        <v>15530.103408685791</v>
      </c>
      <c r="F5" s="1">
        <v>14951.060814845561</v>
      </c>
      <c r="G5" s="1">
        <v>11824</v>
      </c>
      <c r="H5" s="1">
        <v>8788.8049605059332</v>
      </c>
      <c r="I5" s="1">
        <v>15786.298995697533</v>
      </c>
      <c r="J5" s="1">
        <v>10382.906314375665</v>
      </c>
      <c r="K5" s="1">
        <v>12736.358676906897</v>
      </c>
      <c r="L5" s="1">
        <v>11527</v>
      </c>
      <c r="M5" s="1">
        <v>8934</v>
      </c>
      <c r="N5" s="1">
        <v>8954.282822777006</v>
      </c>
      <c r="O5" s="1">
        <v>8960.2115139537818</v>
      </c>
      <c r="P5" s="1">
        <v>6313.4166131976026</v>
      </c>
      <c r="Q5" s="1">
        <v>5480.9893248809549</v>
      </c>
      <c r="R5" s="1">
        <v>3725.9975304055411</v>
      </c>
      <c r="S5" s="1">
        <v>4575.6489829261354</v>
      </c>
      <c r="T5" s="1">
        <v>1087</v>
      </c>
      <c r="U5" s="1">
        <v>4224.7489778415165</v>
      </c>
      <c r="V5" s="1">
        <v>3163.5823414180882</v>
      </c>
      <c r="W5" s="1">
        <v>1418</v>
      </c>
      <c r="X5" s="29">
        <v>569</v>
      </c>
      <c r="AA5" s="1"/>
      <c r="AB5" s="1"/>
    </row>
    <row r="6" spans="1:28" x14ac:dyDescent="0.25">
      <c r="A6" s="20" t="s">
        <v>19</v>
      </c>
      <c r="B6" s="27">
        <f t="shared" si="0"/>
        <v>0.40986245448473813</v>
      </c>
      <c r="C6" s="106">
        <v>-1343.8175370018689</v>
      </c>
      <c r="D6" s="1">
        <v>-1892.7288895802139</v>
      </c>
      <c r="E6" s="91">
        <v>8202.5140318264894</v>
      </c>
      <c r="F6" s="1">
        <v>5817.9533795899679</v>
      </c>
      <c r="G6" s="1">
        <v>7500</v>
      </c>
      <c r="H6" s="1">
        <v>7820.8246556173635</v>
      </c>
      <c r="I6" s="1">
        <v>12816.455725424945</v>
      </c>
      <c r="J6" s="1">
        <v>8666.5947945179687</v>
      </c>
      <c r="K6" s="1">
        <v>11792.783392566229</v>
      </c>
      <c r="L6" s="1">
        <v>9761</v>
      </c>
      <c r="M6" s="1">
        <v>6980</v>
      </c>
      <c r="N6" s="70">
        <v>6543.3297913525712</v>
      </c>
      <c r="O6" s="70">
        <v>7914.9707313263134</v>
      </c>
      <c r="P6" s="70">
        <v>5781.7340095545478</v>
      </c>
      <c r="Q6" s="70">
        <v>2622.2080576154544</v>
      </c>
      <c r="R6" s="70">
        <v>2131.9048353740418</v>
      </c>
      <c r="S6" s="70">
        <v>4635.0851144308572</v>
      </c>
      <c r="T6" s="70">
        <v>2448</v>
      </c>
      <c r="U6" s="70">
        <v>4197.223772308148</v>
      </c>
      <c r="V6" s="70">
        <v>10313.316592710129</v>
      </c>
      <c r="W6" s="1">
        <v>4891</v>
      </c>
      <c r="X6" s="29">
        <v>5836</v>
      </c>
      <c r="AA6" s="1"/>
      <c r="AB6" s="1"/>
    </row>
    <row r="7" spans="1:28" ht="13.8" thickBot="1" x14ac:dyDescent="0.3">
      <c r="A7" s="21" t="s">
        <v>58</v>
      </c>
      <c r="B7" s="27">
        <f t="shared" si="0"/>
        <v>0.25982826831543598</v>
      </c>
      <c r="C7" s="106">
        <v>-5402.1500000000015</v>
      </c>
      <c r="D7" s="1">
        <v>-5945</v>
      </c>
      <c r="E7" s="91">
        <v>18501.46</v>
      </c>
      <c r="F7" s="1">
        <v>14685.7</v>
      </c>
      <c r="G7" s="1">
        <v>14640</v>
      </c>
      <c r="H7" s="1">
        <v>10034</v>
      </c>
      <c r="I7" s="1">
        <v>11994.470000000001</v>
      </c>
      <c r="J7" s="1">
        <v>8061</v>
      </c>
      <c r="K7" s="1">
        <v>11778.39</v>
      </c>
      <c r="L7" s="1">
        <v>5692</v>
      </c>
      <c r="M7" s="1">
        <v>4670</v>
      </c>
      <c r="N7" s="70">
        <v>5290</v>
      </c>
      <c r="O7" s="70">
        <v>4437.1000000000004</v>
      </c>
      <c r="P7" s="70">
        <v>4218.1180000000004</v>
      </c>
      <c r="Q7" s="70">
        <v>3902.134</v>
      </c>
      <c r="R7" s="70">
        <v>2607</v>
      </c>
      <c r="S7" s="70">
        <v>5184.59</v>
      </c>
      <c r="T7" s="70">
        <v>2766</v>
      </c>
      <c r="U7" s="70">
        <v>3768</v>
      </c>
      <c r="V7" s="70">
        <v>3368</v>
      </c>
      <c r="W7" s="1">
        <v>2552</v>
      </c>
      <c r="X7" s="29">
        <v>3062</v>
      </c>
      <c r="AA7" s="1"/>
      <c r="AB7" s="1"/>
    </row>
    <row r="8" spans="1:28" ht="13.8" thickBot="1" x14ac:dyDescent="0.3">
      <c r="A8" s="23" t="s">
        <v>22</v>
      </c>
      <c r="B8" s="111">
        <f t="shared" si="0"/>
        <v>-5.8495101489670118E-2</v>
      </c>
      <c r="C8" s="109">
        <v>-27292.375196945388</v>
      </c>
      <c r="D8" s="43">
        <v>-32574.08056358555</v>
      </c>
      <c r="E8" s="113">
        <f t="shared" ref="E8" si="1">SUM(E2:E7)</f>
        <v>106836.88739301401</v>
      </c>
      <c r="F8" s="43">
        <f t="shared" ref="F8:L8" si="2">SUM(F2:F7)</f>
        <v>113474.5953654131</v>
      </c>
      <c r="G8" s="43">
        <f t="shared" si="2"/>
        <v>113005</v>
      </c>
      <c r="H8" s="43">
        <f t="shared" si="2"/>
        <v>82678.900593958038</v>
      </c>
      <c r="I8" s="43">
        <f t="shared" si="2"/>
        <v>140221.20462254473</v>
      </c>
      <c r="J8" s="43">
        <f t="shared" si="2"/>
        <v>88447.893846259278</v>
      </c>
      <c r="K8" s="43">
        <f t="shared" si="2"/>
        <v>147270.06203051447</v>
      </c>
      <c r="L8" s="43">
        <f t="shared" si="2"/>
        <v>111614</v>
      </c>
      <c r="M8" s="43">
        <f t="shared" ref="M8:R8" si="3">SUM(M2:M7)</f>
        <v>88490</v>
      </c>
      <c r="N8" s="43">
        <f t="shared" si="3"/>
        <v>125751.73689310774</v>
      </c>
      <c r="O8" s="43">
        <f t="shared" si="3"/>
        <v>90361.609288090141</v>
      </c>
      <c r="P8" s="43">
        <f t="shared" si="3"/>
        <v>101100.77488239626</v>
      </c>
      <c r="Q8" s="43">
        <f t="shared" si="3"/>
        <v>89872.261951597146</v>
      </c>
      <c r="R8" s="43">
        <f t="shared" si="3"/>
        <v>54084.798070911478</v>
      </c>
      <c r="S8" s="43">
        <f t="shared" ref="S8:X8" si="4">SUM(S2:S7)</f>
        <v>96055.348517834558</v>
      </c>
      <c r="T8" s="43">
        <f t="shared" si="4"/>
        <v>82666</v>
      </c>
      <c r="U8" s="43">
        <f t="shared" si="4"/>
        <v>74812.849279070084</v>
      </c>
      <c r="V8" s="43">
        <f t="shared" si="4"/>
        <v>106287.422811934</v>
      </c>
      <c r="W8" s="43">
        <f t="shared" si="4"/>
        <v>76346</v>
      </c>
      <c r="X8" s="79">
        <f t="shared" si="4"/>
        <v>64969</v>
      </c>
      <c r="AA8" s="1"/>
      <c r="AB8" s="1"/>
    </row>
    <row r="9" spans="1:28" x14ac:dyDescent="0.25"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AA9" s="1"/>
      <c r="AB9" s="1"/>
    </row>
    <row r="10" spans="1:28" ht="13.8" thickBot="1" x14ac:dyDescent="0.3"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</row>
    <row r="11" spans="1:28" ht="13.8" thickBot="1" x14ac:dyDescent="0.3">
      <c r="A11" s="23" t="s">
        <v>24</v>
      </c>
      <c r="B11" s="24" t="s">
        <v>169</v>
      </c>
      <c r="C11" s="114" t="s">
        <v>178</v>
      </c>
      <c r="D11" s="69" t="s">
        <v>170</v>
      </c>
      <c r="E11" s="116">
        <v>46113</v>
      </c>
      <c r="F11" s="99">
        <v>45748</v>
      </c>
      <c r="G11" s="99">
        <v>45383</v>
      </c>
      <c r="H11" s="99">
        <v>45017</v>
      </c>
      <c r="I11" s="99">
        <v>44652</v>
      </c>
      <c r="J11" s="99">
        <v>44287</v>
      </c>
      <c r="K11" s="99">
        <v>43922</v>
      </c>
      <c r="L11" s="99">
        <v>43556</v>
      </c>
      <c r="M11" s="99">
        <v>43191</v>
      </c>
      <c r="N11" s="25">
        <v>42826</v>
      </c>
      <c r="O11" s="25">
        <v>42461</v>
      </c>
      <c r="P11" s="25">
        <v>42095</v>
      </c>
      <c r="Q11" s="25">
        <v>41730</v>
      </c>
      <c r="R11" s="25">
        <v>41365</v>
      </c>
      <c r="S11" s="25">
        <v>41000</v>
      </c>
      <c r="T11" s="25">
        <v>40634</v>
      </c>
      <c r="U11" s="25">
        <v>40269</v>
      </c>
      <c r="V11" s="25">
        <v>39904</v>
      </c>
      <c r="W11" s="25">
        <v>39539</v>
      </c>
      <c r="X11" s="26">
        <v>39173</v>
      </c>
    </row>
    <row r="12" spans="1:28" x14ac:dyDescent="0.25">
      <c r="A12" s="20" t="s">
        <v>37</v>
      </c>
      <c r="B12" s="27">
        <f t="shared" ref="B12:B17" si="5">IFERROR(((E12-F12)/F12),"")</f>
        <v>4.8368139317178072</v>
      </c>
      <c r="C12" s="106">
        <v>-374.91670125034966</v>
      </c>
      <c r="D12" s="1">
        <v>-157.81025140541738</v>
      </c>
      <c r="E12" s="91">
        <v>660.94849582654047</v>
      </c>
      <c r="F12" s="1">
        <v>113.23789032144454</v>
      </c>
      <c r="G12" s="1">
        <v>213</v>
      </c>
      <c r="H12" s="1">
        <v>490.57112694540825</v>
      </c>
      <c r="I12" s="1">
        <v>292.33733981268983</v>
      </c>
      <c r="J12" s="1">
        <v>838.63686324640423</v>
      </c>
      <c r="K12" s="1">
        <v>864.41877300086946</v>
      </c>
      <c r="L12" s="1">
        <v>612</v>
      </c>
      <c r="M12" s="1">
        <v>916</v>
      </c>
      <c r="N12" s="1">
        <v>985.78212365534273</v>
      </c>
      <c r="O12" s="1">
        <v>372.69344392608912</v>
      </c>
      <c r="P12" s="1">
        <v>585.49610484238758</v>
      </c>
      <c r="Q12" s="1">
        <v>2521.9151000761449</v>
      </c>
      <c r="R12" s="1">
        <v>62.54136214165181</v>
      </c>
      <c r="S12" s="1">
        <v>3179.9660753527169</v>
      </c>
      <c r="T12" s="1">
        <v>2263</v>
      </c>
      <c r="U12" s="1">
        <v>1451.426480970579</v>
      </c>
      <c r="V12" s="1">
        <v>894.48632173766396</v>
      </c>
      <c r="W12" s="1">
        <v>642</v>
      </c>
      <c r="X12" s="29">
        <v>3281</v>
      </c>
    </row>
    <row r="13" spans="1:28" x14ac:dyDescent="0.25">
      <c r="A13" s="20" t="s">
        <v>38</v>
      </c>
      <c r="B13" s="27">
        <f t="shared" si="5"/>
        <v>4.2649347111428412E-2</v>
      </c>
      <c r="C13" s="106">
        <v>-859.83097535510012</v>
      </c>
      <c r="D13" s="1">
        <v>-632.06017333888826</v>
      </c>
      <c r="E13" s="91">
        <v>829.15980457033277</v>
      </c>
      <c r="F13" s="1">
        <v>795.24320124253632</v>
      </c>
      <c r="G13" s="1">
        <v>118</v>
      </c>
      <c r="H13" s="1">
        <v>917.3326296624125</v>
      </c>
      <c r="I13" s="1">
        <v>405.93657233578261</v>
      </c>
      <c r="J13" s="1">
        <v>2304.6355471354682</v>
      </c>
      <c r="K13" s="1">
        <v>558.84918783799128</v>
      </c>
      <c r="L13" s="1">
        <v>1653</v>
      </c>
      <c r="M13" s="1">
        <v>3346</v>
      </c>
      <c r="N13" s="1">
        <v>1542.2346504176121</v>
      </c>
      <c r="O13" s="1">
        <v>1859.3620256859326</v>
      </c>
      <c r="P13" s="1">
        <v>4275.0406580721483</v>
      </c>
      <c r="Q13" s="1">
        <v>3904.7340513738932</v>
      </c>
      <c r="R13" s="1">
        <v>1873.002115138647</v>
      </c>
      <c r="S13" s="1">
        <v>4672.4939831291604</v>
      </c>
      <c r="T13" s="1">
        <v>7701</v>
      </c>
      <c r="U13" s="1">
        <v>6311.930972154586</v>
      </c>
      <c r="V13" s="1">
        <v>2045.5221628081351</v>
      </c>
      <c r="W13" s="1">
        <v>12074</v>
      </c>
      <c r="X13" s="29">
        <v>5483</v>
      </c>
      <c r="AA13" s="1"/>
      <c r="AB13" s="1"/>
    </row>
    <row r="14" spans="1:28" x14ac:dyDescent="0.25">
      <c r="A14" s="20" t="s">
        <v>7</v>
      </c>
      <c r="B14" s="27">
        <f t="shared" si="5"/>
        <v>0.49688769321763021</v>
      </c>
      <c r="C14" s="106">
        <v>-6068.423872475465</v>
      </c>
      <c r="D14" s="1">
        <v>-4448.2975430123388</v>
      </c>
      <c r="E14" s="91">
        <v>15389.990108598118</v>
      </c>
      <c r="F14" s="1">
        <v>10281.325832478864</v>
      </c>
      <c r="G14" s="1">
        <v>25040</v>
      </c>
      <c r="H14" s="1">
        <v>15825.341059677026</v>
      </c>
      <c r="I14" s="1">
        <v>27637.113446673924</v>
      </c>
      <c r="J14" s="1">
        <v>21710.487739542765</v>
      </c>
      <c r="K14" s="1">
        <v>26486.653172426712</v>
      </c>
      <c r="L14" s="1">
        <v>23562</v>
      </c>
      <c r="M14" s="1">
        <v>28418</v>
      </c>
      <c r="N14" s="1">
        <v>19933.04275900482</v>
      </c>
      <c r="O14" s="1">
        <v>27608.174026550005</v>
      </c>
      <c r="P14" s="1">
        <v>29678.289786926431</v>
      </c>
      <c r="Q14" s="1">
        <v>32867.327479316067</v>
      </c>
      <c r="R14" s="1">
        <v>12547.502709195298</v>
      </c>
      <c r="S14" s="1">
        <v>49291.278797500425</v>
      </c>
      <c r="T14" s="1">
        <v>40262</v>
      </c>
      <c r="U14" s="1">
        <v>26033.994844091048</v>
      </c>
      <c r="V14" s="1">
        <v>32472.782969568874</v>
      </c>
      <c r="W14" s="1">
        <v>19524</v>
      </c>
      <c r="X14" s="29">
        <v>29727</v>
      </c>
      <c r="AA14" s="1"/>
      <c r="AB14" s="1"/>
    </row>
    <row r="15" spans="1:28" x14ac:dyDescent="0.25">
      <c r="A15" s="20" t="s">
        <v>110</v>
      </c>
      <c r="B15" s="27" t="str">
        <f t="shared" si="5"/>
        <v/>
      </c>
      <c r="C15" s="106">
        <v>0</v>
      </c>
      <c r="D15" s="1">
        <v>0</v>
      </c>
      <c r="E15" s="91"/>
      <c r="F15" s="1"/>
      <c r="G15" s="1"/>
      <c r="H15" s="1">
        <v>0</v>
      </c>
      <c r="I15" s="1">
        <v>0</v>
      </c>
      <c r="J15" s="1">
        <v>0</v>
      </c>
      <c r="K15" s="1">
        <v>1.1347652449601837</v>
      </c>
      <c r="L15" s="1"/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29">
        <v>0</v>
      </c>
      <c r="AA15" s="1"/>
      <c r="AB15" s="1"/>
    </row>
    <row r="16" spans="1:28" ht="13.8" thickBot="1" x14ac:dyDescent="0.3">
      <c r="A16" s="20" t="s">
        <v>58</v>
      </c>
      <c r="B16" s="27">
        <f t="shared" si="5"/>
        <v>-0.24625376592760775</v>
      </c>
      <c r="C16" s="106">
        <v>-330.2549714530162</v>
      </c>
      <c r="D16" s="1">
        <v>-266.481162599718</v>
      </c>
      <c r="E16" s="91">
        <v>228.59029478835166</v>
      </c>
      <c r="F16" s="1">
        <v>303.27222141238201</v>
      </c>
      <c r="G16" s="1">
        <v>210</v>
      </c>
      <c r="H16" s="1">
        <v>263.47695949295837</v>
      </c>
      <c r="I16" s="1">
        <v>95.153095178403163</v>
      </c>
      <c r="J16" s="1">
        <v>551.04739405495047</v>
      </c>
      <c r="K16" s="1">
        <v>554.77600838187107</v>
      </c>
      <c r="L16" s="1">
        <v>571</v>
      </c>
      <c r="M16" s="1">
        <v>819</v>
      </c>
      <c r="N16" s="1">
        <v>710.69493938968969</v>
      </c>
      <c r="O16" s="1">
        <v>536.80435474854266</v>
      </c>
      <c r="P16" s="1">
        <v>404.006966867458</v>
      </c>
      <c r="Q16" s="1">
        <v>1007.031010087787</v>
      </c>
      <c r="R16" s="1">
        <v>185.12830671637698</v>
      </c>
      <c r="S16" s="1">
        <v>1831.8213674782187</v>
      </c>
      <c r="T16" s="1">
        <v>754</v>
      </c>
      <c r="U16" s="1">
        <v>1379.4966621281749</v>
      </c>
      <c r="V16" s="1">
        <v>793.98003496166564</v>
      </c>
      <c r="W16" s="1">
        <v>1851</v>
      </c>
      <c r="X16" s="29">
        <v>2391</v>
      </c>
      <c r="AA16" s="1"/>
      <c r="AB16" s="1"/>
    </row>
    <row r="17" spans="1:28" ht="13.8" thickBot="1" x14ac:dyDescent="0.3">
      <c r="A17" s="23" t="s">
        <v>22</v>
      </c>
      <c r="B17" s="111">
        <f t="shared" si="5"/>
        <v>0.48860792545300868</v>
      </c>
      <c r="C17" s="109">
        <v>-7633.4265205339325</v>
      </c>
      <c r="D17" s="43">
        <v>-5504.6491303563598</v>
      </c>
      <c r="E17" s="113">
        <f t="shared" ref="E17" si="6">SUM(E12:E16)</f>
        <v>17108.688703783344</v>
      </c>
      <c r="F17" s="43">
        <f t="shared" ref="F17:L17" si="7">SUM(F12:F16)</f>
        <v>11493.079145455227</v>
      </c>
      <c r="G17" s="43">
        <f t="shared" si="7"/>
        <v>25581</v>
      </c>
      <c r="H17" s="43">
        <f t="shared" si="7"/>
        <v>17496.721775777805</v>
      </c>
      <c r="I17" s="43">
        <f t="shared" si="7"/>
        <v>28430.540454000802</v>
      </c>
      <c r="J17" s="43">
        <f t="shared" si="7"/>
        <v>25404.807543979587</v>
      </c>
      <c r="K17" s="43">
        <f t="shared" si="7"/>
        <v>28465.831906892403</v>
      </c>
      <c r="L17" s="43">
        <f t="shared" si="7"/>
        <v>26398</v>
      </c>
      <c r="M17" s="43">
        <f t="shared" ref="M17:R17" si="8">SUM(M12:M16)</f>
        <v>33499</v>
      </c>
      <c r="N17" s="43">
        <f t="shared" si="8"/>
        <v>23171.754472467466</v>
      </c>
      <c r="O17" s="43">
        <f t="shared" si="8"/>
        <v>30377.033850910571</v>
      </c>
      <c r="P17" s="43">
        <f t="shared" si="8"/>
        <v>34942.833516708422</v>
      </c>
      <c r="Q17" s="43">
        <f t="shared" si="8"/>
        <v>40301.007640853895</v>
      </c>
      <c r="R17" s="43">
        <f t="shared" si="8"/>
        <v>14668.174493191973</v>
      </c>
      <c r="S17" s="43">
        <f t="shared" ref="S17:X17" si="9">SUM(S12:S16)</f>
        <v>58975.560223460518</v>
      </c>
      <c r="T17" s="43">
        <f t="shared" si="9"/>
        <v>50980</v>
      </c>
      <c r="U17" s="43">
        <f t="shared" si="9"/>
        <v>35176.848959344396</v>
      </c>
      <c r="V17" s="43">
        <f t="shared" si="9"/>
        <v>36206.771489076338</v>
      </c>
      <c r="W17" s="43">
        <f t="shared" si="9"/>
        <v>34091</v>
      </c>
      <c r="X17" s="79">
        <f t="shared" si="9"/>
        <v>40882</v>
      </c>
      <c r="AA17" s="1"/>
      <c r="AB17" s="1"/>
    </row>
    <row r="20" spans="1:28" ht="13.8" x14ac:dyDescent="0.25">
      <c r="M20" s="87"/>
      <c r="N20" s="87"/>
    </row>
    <row r="21" spans="1:28" ht="13.8" x14ac:dyDescent="0.25">
      <c r="M21" s="87"/>
      <c r="N21" s="87"/>
    </row>
    <row r="22" spans="1:28" ht="13.8" x14ac:dyDescent="0.25">
      <c r="M22" s="87"/>
      <c r="N22" s="87"/>
    </row>
    <row r="23" spans="1:28" ht="13.8" x14ac:dyDescent="0.25">
      <c r="M23" s="87"/>
      <c r="N23" s="87"/>
    </row>
    <row r="24" spans="1:28" ht="17.399999999999999" x14ac:dyDescent="0.3">
      <c r="M24" s="87"/>
      <c r="N24" s="87"/>
      <c r="W24" s="5"/>
      <c r="X24" s="1"/>
      <c r="Y24" s="1"/>
    </row>
    <row r="25" spans="1:28" ht="17.399999999999999" x14ac:dyDescent="0.3">
      <c r="M25" s="87"/>
      <c r="N25" s="87"/>
      <c r="W25" s="5"/>
      <c r="X25" s="1"/>
      <c r="Y25" s="1"/>
    </row>
    <row r="26" spans="1:28" ht="17.399999999999999" x14ac:dyDescent="0.3">
      <c r="W26" s="5"/>
      <c r="X26" s="1"/>
      <c r="Y26" s="1"/>
    </row>
    <row r="27" spans="1:28" ht="17.399999999999999" x14ac:dyDescent="0.3">
      <c r="W27" s="5"/>
      <c r="X27" s="1"/>
      <c r="Y27" s="1"/>
    </row>
    <row r="28" spans="1:28" ht="17.399999999999999" x14ac:dyDescent="0.3">
      <c r="W28" s="5"/>
      <c r="X28" s="1"/>
      <c r="Y28" s="1"/>
    </row>
    <row r="29" spans="1:28" ht="17.399999999999999" x14ac:dyDescent="0.3">
      <c r="W29" s="5"/>
      <c r="X29" s="1"/>
      <c r="Y29" s="1"/>
    </row>
    <row r="30" spans="1:28" ht="17.399999999999999" x14ac:dyDescent="0.3">
      <c r="W30" s="5"/>
      <c r="X30" s="1"/>
      <c r="Y30" s="1"/>
    </row>
    <row r="31" spans="1:28" ht="17.399999999999999" x14ac:dyDescent="0.3">
      <c r="W31" s="5"/>
      <c r="X31" s="1"/>
      <c r="Y31" s="1"/>
    </row>
    <row r="32" spans="1:28" ht="17.399999999999999" x14ac:dyDescent="0.3">
      <c r="W32" s="5"/>
      <c r="X32" s="1"/>
      <c r="Y32" s="1"/>
    </row>
    <row r="33" spans="23:25" ht="17.399999999999999" x14ac:dyDescent="0.3">
      <c r="W33" s="5"/>
      <c r="X33" s="1"/>
      <c r="Y33" s="1"/>
    </row>
    <row r="34" spans="23:25" ht="17.399999999999999" x14ac:dyDescent="0.3">
      <c r="W34" s="6"/>
      <c r="X34" s="1"/>
      <c r="Y34" s="1"/>
    </row>
    <row r="35" spans="23:25" ht="18" x14ac:dyDescent="0.35">
      <c r="W35" s="7"/>
      <c r="X35" s="2"/>
      <c r="Y35" s="2"/>
    </row>
  </sheetData>
  <conditionalFormatting sqref="E1">
    <cfRule type="expression" dxfId="7" priority="2">
      <formula>ISBLANK(XFD1)=FALSE</formula>
    </cfRule>
  </conditionalFormatting>
  <conditionalFormatting sqref="E11">
    <cfRule type="expression" dxfId="6" priority="1">
      <formula>ISBLANK(XFD11)=FALSE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Y46"/>
  <sheetViews>
    <sheetView zoomScaleNormal="80" workbookViewId="0"/>
  </sheetViews>
  <sheetFormatPr defaultColWidth="8.6640625" defaultRowHeight="13.2" x14ac:dyDescent="0.25"/>
  <cols>
    <col min="1" max="1" width="21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2" width="11.6640625" customWidth="1"/>
    <col min="13" max="13" width="12" customWidth="1"/>
    <col min="14" max="14" width="10.6640625" customWidth="1"/>
    <col min="15" max="24" width="10.109375" bestFit="1" customWidth="1"/>
  </cols>
  <sheetData>
    <row r="1" spans="1:24" ht="13.8" thickBot="1" x14ac:dyDescent="0.3">
      <c r="A1" s="38" t="s">
        <v>90</v>
      </c>
      <c r="B1" s="24" t="s">
        <v>169</v>
      </c>
      <c r="C1" s="114" t="s">
        <v>178</v>
      </c>
      <c r="D1" s="69" t="s">
        <v>170</v>
      </c>
      <c r="E1" s="116">
        <v>46113</v>
      </c>
      <c r="F1" s="99">
        <v>45748</v>
      </c>
      <c r="G1" s="99">
        <v>45383</v>
      </c>
      <c r="H1" s="99">
        <v>45017</v>
      </c>
      <c r="I1" s="99">
        <v>44652</v>
      </c>
      <c r="J1" s="99">
        <v>44287</v>
      </c>
      <c r="K1" s="99">
        <v>43922</v>
      </c>
      <c r="L1" s="99">
        <v>43556</v>
      </c>
      <c r="M1" s="99">
        <v>43191</v>
      </c>
      <c r="N1" s="25">
        <v>42826</v>
      </c>
      <c r="O1" s="25">
        <v>42461</v>
      </c>
      <c r="P1" s="25">
        <v>42095</v>
      </c>
      <c r="Q1" s="25">
        <v>41730</v>
      </c>
      <c r="R1" s="25">
        <v>41365</v>
      </c>
      <c r="S1" s="25">
        <v>41000</v>
      </c>
      <c r="T1" s="25">
        <v>40634</v>
      </c>
      <c r="U1" s="25">
        <v>40269</v>
      </c>
      <c r="V1" s="25">
        <v>39904</v>
      </c>
      <c r="W1" s="25">
        <v>39539</v>
      </c>
      <c r="X1" s="26">
        <v>39173</v>
      </c>
    </row>
    <row r="2" spans="1:24" x14ac:dyDescent="0.25">
      <c r="A2" s="20" t="s">
        <v>4</v>
      </c>
      <c r="B2" s="27">
        <f t="shared" ref="B2:B19" si="0">IFERROR(((E2-F2)/F2),"")</f>
        <v>-0.35470941883767537</v>
      </c>
      <c r="C2" s="106">
        <v>-397</v>
      </c>
      <c r="D2" s="1">
        <v>-441</v>
      </c>
      <c r="E2" s="91">
        <v>322</v>
      </c>
      <c r="F2" s="1">
        <v>499</v>
      </c>
      <c r="G2" s="1">
        <v>1</v>
      </c>
      <c r="H2" s="1">
        <v>180</v>
      </c>
      <c r="I2" s="1">
        <v>5</v>
      </c>
      <c r="J2" s="1">
        <v>0</v>
      </c>
      <c r="K2" s="1">
        <v>0</v>
      </c>
      <c r="L2" s="1">
        <v>5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1</v>
      </c>
      <c r="S2" s="1">
        <v>0</v>
      </c>
      <c r="T2" s="1">
        <v>0</v>
      </c>
      <c r="U2" s="1">
        <v>0</v>
      </c>
      <c r="V2" s="1">
        <v>22</v>
      </c>
      <c r="W2" s="1">
        <v>47</v>
      </c>
      <c r="X2" s="29">
        <v>5</v>
      </c>
    </row>
    <row r="3" spans="1:24" x14ac:dyDescent="0.25">
      <c r="A3" s="20" t="s">
        <v>11</v>
      </c>
      <c r="B3" s="27">
        <f t="shared" si="0"/>
        <v>0.1390081999219055</v>
      </c>
      <c r="C3" s="106">
        <v>-1354</v>
      </c>
      <c r="D3" s="1">
        <v>-1477</v>
      </c>
      <c r="E3" s="91">
        <v>5834</v>
      </c>
      <c r="F3" s="1">
        <v>5122</v>
      </c>
      <c r="G3" s="1">
        <v>4428</v>
      </c>
      <c r="H3" s="1">
        <v>3999</v>
      </c>
      <c r="I3" s="1">
        <v>4180</v>
      </c>
      <c r="J3" s="1">
        <v>4344</v>
      </c>
      <c r="K3" s="1">
        <v>3543</v>
      </c>
      <c r="L3" s="1">
        <f>5845+155</f>
        <v>6000</v>
      </c>
      <c r="M3" s="1">
        <v>1314</v>
      </c>
      <c r="N3" s="1">
        <v>4280</v>
      </c>
      <c r="O3" s="1">
        <v>4272</v>
      </c>
      <c r="P3" s="1">
        <v>4092</v>
      </c>
      <c r="Q3" s="1">
        <v>4612</v>
      </c>
      <c r="R3" s="1">
        <v>3844</v>
      </c>
      <c r="S3" s="1">
        <v>4250</v>
      </c>
      <c r="T3" s="1">
        <v>3159</v>
      </c>
      <c r="U3" s="1">
        <v>3252</v>
      </c>
      <c r="V3" s="1">
        <v>2311</v>
      </c>
      <c r="W3" s="1">
        <v>1764</v>
      </c>
      <c r="X3" s="29">
        <v>1242</v>
      </c>
    </row>
    <row r="4" spans="1:24" x14ac:dyDescent="0.25">
      <c r="A4" s="20" t="s">
        <v>5</v>
      </c>
      <c r="B4" s="27" t="str">
        <f t="shared" si="0"/>
        <v/>
      </c>
      <c r="C4" s="106">
        <v>0</v>
      </c>
      <c r="D4" s="1">
        <v>0</v>
      </c>
      <c r="E4" s="9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/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29">
        <v>0</v>
      </c>
    </row>
    <row r="5" spans="1:24" x14ac:dyDescent="0.25">
      <c r="A5" s="20" t="s">
        <v>2</v>
      </c>
      <c r="B5" s="27" t="str">
        <f t="shared" si="0"/>
        <v/>
      </c>
      <c r="C5" s="106">
        <v>0</v>
      </c>
      <c r="D5" s="1">
        <v>0</v>
      </c>
      <c r="E5" s="9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/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37</v>
      </c>
      <c r="T5" s="1">
        <v>0</v>
      </c>
      <c r="U5" s="1">
        <v>0</v>
      </c>
      <c r="V5" s="1">
        <v>0</v>
      </c>
      <c r="W5" s="1">
        <v>0</v>
      </c>
      <c r="X5" s="29">
        <v>0</v>
      </c>
    </row>
    <row r="6" spans="1:24" x14ac:dyDescent="0.25">
      <c r="A6" s="20" t="s">
        <v>9</v>
      </c>
      <c r="B6" s="27">
        <f t="shared" si="0"/>
        <v>-6.6820080115912381E-2</v>
      </c>
      <c r="C6" s="106">
        <v>-3087</v>
      </c>
      <c r="D6" s="1">
        <v>-3312</v>
      </c>
      <c r="E6" s="91">
        <v>10949</v>
      </c>
      <c r="F6" s="1">
        <v>11733</v>
      </c>
      <c r="G6" s="1">
        <v>8279</v>
      </c>
      <c r="H6" s="1">
        <v>7391</v>
      </c>
      <c r="I6" s="1">
        <v>12285</v>
      </c>
      <c r="J6" s="1">
        <v>11724</v>
      </c>
      <c r="K6" s="1">
        <v>10542</v>
      </c>
      <c r="L6" s="1">
        <f>10794+434</f>
        <v>11228</v>
      </c>
      <c r="M6" s="1">
        <v>3807</v>
      </c>
      <c r="N6" s="1">
        <v>6880</v>
      </c>
      <c r="O6" s="1">
        <v>9363</v>
      </c>
      <c r="P6" s="1">
        <v>7627</v>
      </c>
      <c r="Q6" s="1">
        <v>8538</v>
      </c>
      <c r="R6" s="1">
        <v>7726</v>
      </c>
      <c r="S6" s="1">
        <v>10932</v>
      </c>
      <c r="T6" s="1">
        <v>8194</v>
      </c>
      <c r="U6" s="1">
        <v>8556</v>
      </c>
      <c r="V6" s="1">
        <v>4808</v>
      </c>
      <c r="W6" s="1">
        <v>8099</v>
      </c>
      <c r="X6" s="29">
        <v>4572</v>
      </c>
    </row>
    <row r="7" spans="1:24" x14ac:dyDescent="0.25">
      <c r="A7" s="20" t="s">
        <v>111</v>
      </c>
      <c r="B7" s="27">
        <f t="shared" si="0"/>
        <v>-0.39393939393939392</v>
      </c>
      <c r="C7" s="106">
        <v>-5</v>
      </c>
      <c r="D7" s="1">
        <v>-17</v>
      </c>
      <c r="E7" s="91">
        <v>20</v>
      </c>
      <c r="F7" s="1">
        <v>33</v>
      </c>
      <c r="G7" s="1">
        <v>4</v>
      </c>
      <c r="H7" s="1">
        <v>37</v>
      </c>
      <c r="I7" s="1">
        <v>41</v>
      </c>
      <c r="J7" s="1">
        <v>20</v>
      </c>
      <c r="K7" s="1">
        <v>15</v>
      </c>
      <c r="L7" s="1">
        <f>67+31</f>
        <v>98</v>
      </c>
      <c r="M7" s="1">
        <v>4</v>
      </c>
      <c r="N7" s="1">
        <v>57</v>
      </c>
      <c r="O7" s="1">
        <v>65</v>
      </c>
      <c r="P7" s="1">
        <v>28</v>
      </c>
      <c r="Q7" s="1">
        <v>85</v>
      </c>
      <c r="R7" s="1">
        <v>90</v>
      </c>
      <c r="S7" s="1">
        <v>43</v>
      </c>
      <c r="T7" s="1">
        <v>386</v>
      </c>
      <c r="U7" s="1">
        <v>50</v>
      </c>
      <c r="V7" s="1">
        <v>371</v>
      </c>
      <c r="W7" s="1">
        <v>220</v>
      </c>
      <c r="X7" s="29">
        <v>347</v>
      </c>
    </row>
    <row r="8" spans="1:24" x14ac:dyDescent="0.25">
      <c r="A8" s="20" t="s">
        <v>3</v>
      </c>
      <c r="B8" s="27">
        <f t="shared" si="0"/>
        <v>-3.9218442507731231E-2</v>
      </c>
      <c r="C8" s="106">
        <v>-1250</v>
      </c>
      <c r="D8" s="1">
        <v>-1163</v>
      </c>
      <c r="E8" s="91">
        <v>6835</v>
      </c>
      <c r="F8" s="1">
        <v>7114</v>
      </c>
      <c r="G8" s="1">
        <v>6001</v>
      </c>
      <c r="H8" s="1">
        <v>5688</v>
      </c>
      <c r="I8" s="1">
        <v>7047</v>
      </c>
      <c r="J8" s="1">
        <v>6282</v>
      </c>
      <c r="K8" s="1">
        <v>7079</v>
      </c>
      <c r="L8" s="1">
        <f>6788+105</f>
        <v>6893</v>
      </c>
      <c r="M8" s="1">
        <v>5526</v>
      </c>
      <c r="N8" s="70">
        <v>9466</v>
      </c>
      <c r="O8" s="70">
        <v>7619</v>
      </c>
      <c r="P8" s="70">
        <v>9069</v>
      </c>
      <c r="Q8" s="70">
        <v>7018</v>
      </c>
      <c r="R8" s="70">
        <v>9996</v>
      </c>
      <c r="S8" s="70">
        <v>9736</v>
      </c>
      <c r="T8" s="70">
        <v>11300</v>
      </c>
      <c r="U8" s="70">
        <v>12055</v>
      </c>
      <c r="V8" s="70">
        <v>12645</v>
      </c>
      <c r="W8" s="1">
        <v>12858</v>
      </c>
      <c r="X8" s="29">
        <v>13293</v>
      </c>
    </row>
    <row r="9" spans="1:24" x14ac:dyDescent="0.25">
      <c r="A9" s="20" t="s">
        <v>17</v>
      </c>
      <c r="B9" s="27">
        <f t="shared" si="0"/>
        <v>-0.11666666666666667</v>
      </c>
      <c r="C9" s="106">
        <v>-107</v>
      </c>
      <c r="D9" s="1">
        <v>-56</v>
      </c>
      <c r="E9" s="91">
        <v>106</v>
      </c>
      <c r="F9" s="1">
        <v>120</v>
      </c>
      <c r="G9" s="1">
        <v>56</v>
      </c>
      <c r="H9" s="1">
        <v>131</v>
      </c>
      <c r="I9" s="1">
        <v>286</v>
      </c>
      <c r="J9" s="1">
        <v>48</v>
      </c>
      <c r="K9" s="1">
        <v>35</v>
      </c>
      <c r="L9" s="1">
        <v>80</v>
      </c>
      <c r="M9" s="1">
        <v>38</v>
      </c>
      <c r="N9" s="70">
        <v>57</v>
      </c>
      <c r="O9" s="70">
        <v>18</v>
      </c>
      <c r="P9" s="70">
        <v>10</v>
      </c>
      <c r="Q9" s="70">
        <v>9</v>
      </c>
      <c r="R9" s="70">
        <v>29</v>
      </c>
      <c r="S9" s="70">
        <v>0</v>
      </c>
      <c r="T9" s="70">
        <v>43</v>
      </c>
      <c r="U9" s="70">
        <v>5</v>
      </c>
      <c r="V9" s="70">
        <v>64</v>
      </c>
      <c r="W9" s="1">
        <v>0</v>
      </c>
      <c r="X9" s="29">
        <v>1</v>
      </c>
    </row>
    <row r="10" spans="1:24" x14ac:dyDescent="0.25">
      <c r="A10" s="20" t="s">
        <v>10</v>
      </c>
      <c r="B10" s="27">
        <f t="shared" si="0"/>
        <v>-0.60311284046692604</v>
      </c>
      <c r="C10" s="106">
        <v>-30</v>
      </c>
      <c r="D10" s="1">
        <v>8</v>
      </c>
      <c r="E10" s="91">
        <v>102</v>
      </c>
      <c r="F10" s="1">
        <v>257</v>
      </c>
      <c r="G10" s="1">
        <v>94</v>
      </c>
      <c r="H10" s="1">
        <v>268</v>
      </c>
      <c r="I10" s="1">
        <v>272</v>
      </c>
      <c r="J10" s="1">
        <v>343</v>
      </c>
      <c r="K10" s="1">
        <v>104</v>
      </c>
      <c r="L10" s="1">
        <v>266</v>
      </c>
      <c r="M10" s="1">
        <v>14</v>
      </c>
      <c r="N10" s="70">
        <v>312</v>
      </c>
      <c r="O10" s="70">
        <v>750</v>
      </c>
      <c r="P10" s="70">
        <v>738</v>
      </c>
      <c r="Q10" s="70">
        <v>1245</v>
      </c>
      <c r="R10" s="70">
        <v>1153</v>
      </c>
      <c r="S10" s="70">
        <v>678</v>
      </c>
      <c r="T10" s="70">
        <v>2227</v>
      </c>
      <c r="U10" s="70">
        <v>1405</v>
      </c>
      <c r="V10" s="70">
        <v>2019</v>
      </c>
      <c r="W10" s="1">
        <v>973</v>
      </c>
      <c r="X10" s="29">
        <v>2344</v>
      </c>
    </row>
    <row r="11" spans="1:24" x14ac:dyDescent="0.25">
      <c r="A11" s="20" t="s">
        <v>26</v>
      </c>
      <c r="B11" s="27">
        <f t="shared" si="0"/>
        <v>7.0479491623339108E-2</v>
      </c>
      <c r="C11" s="106">
        <v>-187</v>
      </c>
      <c r="D11" s="1">
        <v>-209</v>
      </c>
      <c r="E11" s="91">
        <v>1853</v>
      </c>
      <c r="F11" s="1">
        <v>1731</v>
      </c>
      <c r="G11" s="1">
        <v>730</v>
      </c>
      <c r="H11" s="1">
        <v>1426</v>
      </c>
      <c r="I11" s="1">
        <v>1180</v>
      </c>
      <c r="J11" s="1">
        <v>796</v>
      </c>
      <c r="K11" s="1">
        <v>1393</v>
      </c>
      <c r="L11" s="1">
        <f>1467+94</f>
        <v>1561</v>
      </c>
      <c r="M11" s="1">
        <v>0</v>
      </c>
      <c r="N11" s="70">
        <v>2238</v>
      </c>
      <c r="O11" s="70">
        <v>1604</v>
      </c>
      <c r="P11" s="70">
        <v>2012</v>
      </c>
      <c r="Q11" s="70">
        <v>2077</v>
      </c>
      <c r="R11" s="70">
        <v>1978</v>
      </c>
      <c r="S11" s="70">
        <v>2607</v>
      </c>
      <c r="T11" s="70">
        <v>1807</v>
      </c>
      <c r="U11" s="70">
        <v>2309</v>
      </c>
      <c r="V11" s="70">
        <v>2392</v>
      </c>
      <c r="W11" s="1">
        <v>2394</v>
      </c>
      <c r="X11" s="29">
        <v>2634</v>
      </c>
    </row>
    <row r="12" spans="1:24" x14ac:dyDescent="0.25">
      <c r="A12" s="20" t="s">
        <v>112</v>
      </c>
      <c r="B12" s="27">
        <f t="shared" si="0"/>
        <v>-0.58787878787878789</v>
      </c>
      <c r="C12" s="106">
        <v>-22</v>
      </c>
      <c r="D12" s="1">
        <v>5</v>
      </c>
      <c r="E12" s="91">
        <v>68</v>
      </c>
      <c r="F12" s="1">
        <v>165</v>
      </c>
      <c r="G12" s="1">
        <v>0</v>
      </c>
      <c r="H12" s="1">
        <v>18</v>
      </c>
      <c r="I12" s="1">
        <v>0</v>
      </c>
      <c r="J12" s="1">
        <v>36</v>
      </c>
      <c r="K12" s="1">
        <v>0</v>
      </c>
      <c r="L12" s="1">
        <v>181</v>
      </c>
      <c r="M12" s="1">
        <v>0</v>
      </c>
      <c r="N12" s="70">
        <v>50</v>
      </c>
      <c r="O12" s="70">
        <v>13</v>
      </c>
      <c r="P12" s="70">
        <v>75</v>
      </c>
      <c r="Q12" s="70">
        <v>104</v>
      </c>
      <c r="R12" s="70">
        <v>15</v>
      </c>
      <c r="S12" s="70">
        <v>36</v>
      </c>
      <c r="T12" s="70">
        <v>46</v>
      </c>
      <c r="U12" s="70">
        <v>0</v>
      </c>
      <c r="V12" s="70">
        <v>10</v>
      </c>
      <c r="W12" s="1">
        <v>11</v>
      </c>
      <c r="X12" s="29">
        <v>79</v>
      </c>
    </row>
    <row r="13" spans="1:24" x14ac:dyDescent="0.25">
      <c r="A13" s="20" t="s">
        <v>113</v>
      </c>
      <c r="B13" s="27">
        <f t="shared" si="0"/>
        <v>5.166666666666667</v>
      </c>
      <c r="C13" s="106">
        <v>-35</v>
      </c>
      <c r="D13" s="1">
        <v>-11</v>
      </c>
      <c r="E13" s="91">
        <v>185</v>
      </c>
      <c r="F13" s="1">
        <v>30</v>
      </c>
      <c r="G13" s="1">
        <v>11</v>
      </c>
      <c r="H13" s="1">
        <v>59</v>
      </c>
      <c r="I13" s="1">
        <v>55</v>
      </c>
      <c r="J13" s="1">
        <v>112</v>
      </c>
      <c r="K13" s="1">
        <v>23</v>
      </c>
      <c r="L13" s="1">
        <v>269</v>
      </c>
      <c r="M13" s="1">
        <v>64</v>
      </c>
      <c r="N13" s="70">
        <v>173</v>
      </c>
      <c r="O13" s="70">
        <v>337</v>
      </c>
      <c r="P13" s="70">
        <v>596</v>
      </c>
      <c r="Q13" s="70">
        <v>572</v>
      </c>
      <c r="R13" s="70">
        <v>1120</v>
      </c>
      <c r="S13" s="70">
        <v>1419</v>
      </c>
      <c r="T13" s="70">
        <v>3192</v>
      </c>
      <c r="U13" s="70">
        <v>3445</v>
      </c>
      <c r="V13" s="70">
        <v>2879</v>
      </c>
      <c r="W13" s="1">
        <v>3816</v>
      </c>
      <c r="X13" s="29">
        <v>5457</v>
      </c>
    </row>
    <row r="14" spans="1:24" x14ac:dyDescent="0.25">
      <c r="A14" s="20" t="s">
        <v>13</v>
      </c>
      <c r="B14" s="27">
        <f t="shared" si="0"/>
        <v>-0.20189274447949526</v>
      </c>
      <c r="C14" s="106">
        <v>-124</v>
      </c>
      <c r="D14" s="1">
        <v>-49</v>
      </c>
      <c r="E14" s="91">
        <v>253</v>
      </c>
      <c r="F14" s="1">
        <v>317</v>
      </c>
      <c r="G14" s="1">
        <v>165</v>
      </c>
      <c r="H14" s="1">
        <v>77</v>
      </c>
      <c r="I14" s="1">
        <v>137</v>
      </c>
      <c r="J14" s="1">
        <v>243</v>
      </c>
      <c r="K14" s="1">
        <v>13</v>
      </c>
      <c r="L14" s="1">
        <v>102</v>
      </c>
      <c r="M14" s="1">
        <v>0</v>
      </c>
      <c r="N14" s="70">
        <v>111</v>
      </c>
      <c r="O14" s="70">
        <v>97</v>
      </c>
      <c r="P14" s="70">
        <v>23</v>
      </c>
      <c r="Q14" s="70">
        <v>261</v>
      </c>
      <c r="R14" s="70">
        <v>437</v>
      </c>
      <c r="S14" s="70">
        <v>598</v>
      </c>
      <c r="T14" s="70">
        <v>503</v>
      </c>
      <c r="U14" s="70">
        <v>445</v>
      </c>
      <c r="V14" s="70">
        <v>450</v>
      </c>
      <c r="W14" s="1">
        <v>376</v>
      </c>
      <c r="X14" s="29">
        <v>319</v>
      </c>
    </row>
    <row r="15" spans="1:24" x14ac:dyDescent="0.25">
      <c r="A15" s="20" t="s">
        <v>114</v>
      </c>
      <c r="B15" s="27" t="str">
        <f t="shared" si="0"/>
        <v/>
      </c>
      <c r="C15" s="106">
        <v>-1</v>
      </c>
      <c r="D15" s="1">
        <v>-3</v>
      </c>
      <c r="E15" s="91">
        <v>0</v>
      </c>
      <c r="F15" s="1">
        <v>0</v>
      </c>
      <c r="G15" s="1">
        <v>0</v>
      </c>
      <c r="H15" s="1">
        <v>3</v>
      </c>
      <c r="I15" s="1">
        <v>0</v>
      </c>
      <c r="J15" s="1">
        <v>7</v>
      </c>
      <c r="K15" s="1">
        <v>0</v>
      </c>
      <c r="L15" s="1">
        <v>10</v>
      </c>
      <c r="M15" s="1">
        <v>0</v>
      </c>
      <c r="N15" s="70">
        <v>0</v>
      </c>
      <c r="O15" s="70">
        <v>0</v>
      </c>
      <c r="P15" s="70">
        <v>0</v>
      </c>
      <c r="Q15" s="70">
        <v>0</v>
      </c>
      <c r="R15" s="70">
        <v>0</v>
      </c>
      <c r="S15" s="70">
        <v>0</v>
      </c>
      <c r="T15" s="70">
        <v>0</v>
      </c>
      <c r="U15" s="70">
        <v>0</v>
      </c>
      <c r="V15" s="70">
        <v>0</v>
      </c>
      <c r="W15" s="1">
        <v>0</v>
      </c>
      <c r="X15" s="29">
        <v>0</v>
      </c>
    </row>
    <row r="16" spans="1:24" x14ac:dyDescent="0.25">
      <c r="A16" s="20" t="s">
        <v>95</v>
      </c>
      <c r="B16" s="27">
        <f t="shared" si="0"/>
        <v>-0.36899563318777295</v>
      </c>
      <c r="C16" s="106">
        <v>-166</v>
      </c>
      <c r="D16" s="1">
        <v>-130</v>
      </c>
      <c r="E16" s="91">
        <v>289</v>
      </c>
      <c r="F16" s="1">
        <v>458</v>
      </c>
      <c r="G16" s="1">
        <v>112</v>
      </c>
      <c r="H16" s="1">
        <v>299</v>
      </c>
      <c r="I16" s="1">
        <v>79</v>
      </c>
      <c r="J16" s="1">
        <v>92</v>
      </c>
      <c r="K16" s="1">
        <v>7</v>
      </c>
      <c r="L16" s="1">
        <v>260</v>
      </c>
      <c r="M16" s="1">
        <v>5</v>
      </c>
      <c r="N16" s="70">
        <v>113</v>
      </c>
      <c r="O16" s="70">
        <v>217</v>
      </c>
      <c r="P16" s="70">
        <v>172</v>
      </c>
      <c r="Q16" s="70">
        <v>562</v>
      </c>
      <c r="R16" s="70">
        <v>378</v>
      </c>
      <c r="S16" s="70">
        <v>772</v>
      </c>
      <c r="T16" s="70">
        <v>448</v>
      </c>
      <c r="U16" s="70">
        <v>565</v>
      </c>
      <c r="V16" s="70">
        <v>286</v>
      </c>
      <c r="W16" s="1">
        <v>467</v>
      </c>
      <c r="X16" s="29">
        <v>331</v>
      </c>
    </row>
    <row r="17" spans="1:24" x14ac:dyDescent="0.25">
      <c r="A17" s="39" t="s">
        <v>86</v>
      </c>
      <c r="B17" s="27">
        <f t="shared" si="0"/>
        <v>9.8309668695064231E-2</v>
      </c>
      <c r="C17" s="106">
        <v>-3135</v>
      </c>
      <c r="D17" s="1">
        <v>-1620</v>
      </c>
      <c r="E17" s="91">
        <v>8122</v>
      </c>
      <c r="F17" s="1">
        <v>7395</v>
      </c>
      <c r="G17" s="1">
        <v>4043</v>
      </c>
      <c r="H17" s="1">
        <v>5309</v>
      </c>
      <c r="I17" s="1">
        <v>6112</v>
      </c>
      <c r="J17" s="1">
        <v>5047</v>
      </c>
      <c r="K17" s="1">
        <v>4534</v>
      </c>
      <c r="L17" s="1">
        <f>6907+136</f>
        <v>7043</v>
      </c>
      <c r="M17" s="1">
        <v>2691</v>
      </c>
      <c r="N17" s="70">
        <v>4922</v>
      </c>
      <c r="O17" s="70">
        <v>5343</v>
      </c>
      <c r="P17" s="70">
        <v>6777</v>
      </c>
      <c r="Q17" s="70">
        <v>5660</v>
      </c>
      <c r="R17" s="70">
        <v>3144</v>
      </c>
      <c r="S17" s="70">
        <v>3587</v>
      </c>
      <c r="T17" s="70">
        <v>1395</v>
      </c>
      <c r="U17" s="70">
        <f>99+197+1259</f>
        <v>1555</v>
      </c>
      <c r="V17" s="70">
        <v>637</v>
      </c>
      <c r="W17" s="1">
        <v>320</v>
      </c>
      <c r="X17" s="29">
        <v>100</v>
      </c>
    </row>
    <row r="18" spans="1:24" ht="13.8" thickBot="1" x14ac:dyDescent="0.3">
      <c r="A18" s="22" t="s">
        <v>58</v>
      </c>
      <c r="B18" s="28">
        <f t="shared" si="0"/>
        <v>-0.39402985074626867</v>
      </c>
      <c r="C18" s="105">
        <v>252</v>
      </c>
      <c r="D18" s="10">
        <v>-408</v>
      </c>
      <c r="E18" s="94">
        <v>2030</v>
      </c>
      <c r="F18" s="1">
        <v>3350</v>
      </c>
      <c r="G18" s="1">
        <v>1668</v>
      </c>
      <c r="H18" s="1">
        <v>2120</v>
      </c>
      <c r="I18" s="1">
        <v>1766</v>
      </c>
      <c r="J18" s="1">
        <v>2375</v>
      </c>
      <c r="K18" s="1">
        <v>1292</v>
      </c>
      <c r="L18" s="1">
        <f>219+395+428+38+2123+45</f>
        <v>3248</v>
      </c>
      <c r="M18" s="1">
        <f>48+234+101+61</f>
        <v>444</v>
      </c>
      <c r="N18" s="70">
        <v>2259</v>
      </c>
      <c r="O18" s="70">
        <v>684</v>
      </c>
      <c r="P18" s="70">
        <v>545</v>
      </c>
      <c r="Q18" s="70">
        <v>601</v>
      </c>
      <c r="R18" s="70">
        <v>243</v>
      </c>
      <c r="S18" s="70">
        <v>392</v>
      </c>
      <c r="T18" s="70">
        <v>273</v>
      </c>
      <c r="U18" s="70">
        <v>440</v>
      </c>
      <c r="V18" s="70">
        <v>301</v>
      </c>
      <c r="W18" s="1">
        <v>406</v>
      </c>
      <c r="X18" s="29">
        <v>318</v>
      </c>
    </row>
    <row r="19" spans="1:24" ht="13.8" thickBot="1" x14ac:dyDescent="0.3">
      <c r="A19" s="32" t="s">
        <v>22</v>
      </c>
      <c r="B19" s="33">
        <f t="shared" si="0"/>
        <v>-3.5382527919841353E-2</v>
      </c>
      <c r="C19" s="118">
        <v>-9648</v>
      </c>
      <c r="D19" s="34">
        <v>-8883</v>
      </c>
      <c r="E19" s="85">
        <f>SUM(E2:E18)</f>
        <v>36968</v>
      </c>
      <c r="F19" s="43">
        <f t="shared" ref="F19" si="1">SUM(F2:F18)</f>
        <v>38324</v>
      </c>
      <c r="G19" s="43">
        <f t="shared" ref="G19:J19" si="2">SUM(G2:G18)</f>
        <v>25592</v>
      </c>
      <c r="H19" s="43">
        <f t="shared" si="2"/>
        <v>27005</v>
      </c>
      <c r="I19" s="43">
        <f t="shared" si="2"/>
        <v>33445</v>
      </c>
      <c r="J19" s="43">
        <f t="shared" si="2"/>
        <v>31469</v>
      </c>
      <c r="K19" s="43">
        <v>28580</v>
      </c>
      <c r="L19" s="43">
        <f>SUM(L2:L18)</f>
        <v>37244</v>
      </c>
      <c r="M19" s="43">
        <f t="shared" ref="M19:R19" si="3">SUM(M2:M18)</f>
        <v>13907</v>
      </c>
      <c r="N19" s="43">
        <f t="shared" si="3"/>
        <v>30918</v>
      </c>
      <c r="O19" s="43">
        <f t="shared" si="3"/>
        <v>30382</v>
      </c>
      <c r="P19" s="43">
        <f t="shared" si="3"/>
        <v>31764</v>
      </c>
      <c r="Q19" s="43">
        <f t="shared" si="3"/>
        <v>31344</v>
      </c>
      <c r="R19" s="43">
        <f t="shared" si="3"/>
        <v>30154</v>
      </c>
      <c r="S19" s="43">
        <f t="shared" ref="S19:X19" si="4">SUM(S2:S18)</f>
        <v>35087</v>
      </c>
      <c r="T19" s="43">
        <f t="shared" si="4"/>
        <v>32973</v>
      </c>
      <c r="U19" s="43">
        <f t="shared" si="4"/>
        <v>34082</v>
      </c>
      <c r="V19" s="43">
        <f t="shared" si="4"/>
        <v>29195</v>
      </c>
      <c r="W19" s="43">
        <f t="shared" si="4"/>
        <v>31751</v>
      </c>
      <c r="X19" s="79">
        <f t="shared" si="4"/>
        <v>31042</v>
      </c>
    </row>
    <row r="20" spans="1:24" x14ac:dyDescent="0.25"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</row>
    <row r="21" spans="1:24" ht="13.8" thickBot="1" x14ac:dyDescent="0.3"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</row>
    <row r="22" spans="1:24" ht="13.8" thickBot="1" x14ac:dyDescent="0.3">
      <c r="A22" s="23" t="s">
        <v>24</v>
      </c>
      <c r="B22" s="24" t="s">
        <v>169</v>
      </c>
      <c r="C22" s="114" t="s">
        <v>178</v>
      </c>
      <c r="D22" s="69" t="s">
        <v>170</v>
      </c>
      <c r="E22" s="116">
        <v>46113</v>
      </c>
      <c r="F22" s="99">
        <v>45748</v>
      </c>
      <c r="G22" s="99">
        <v>45383</v>
      </c>
      <c r="H22" s="99">
        <v>45017</v>
      </c>
      <c r="I22" s="99">
        <v>44652</v>
      </c>
      <c r="J22" s="99">
        <v>44287</v>
      </c>
      <c r="K22" s="99">
        <v>43922</v>
      </c>
      <c r="L22" s="99">
        <v>43556</v>
      </c>
      <c r="M22" s="99">
        <v>43191</v>
      </c>
      <c r="N22" s="25">
        <v>42826</v>
      </c>
      <c r="O22" s="25">
        <v>42461</v>
      </c>
      <c r="P22" s="25">
        <v>42095</v>
      </c>
      <c r="Q22" s="25">
        <v>41730</v>
      </c>
      <c r="R22" s="25">
        <v>41365</v>
      </c>
      <c r="S22" s="25">
        <v>41000</v>
      </c>
      <c r="T22" s="25">
        <v>40634</v>
      </c>
      <c r="U22" s="25">
        <v>40269</v>
      </c>
      <c r="V22" s="25">
        <v>39904</v>
      </c>
      <c r="W22" s="25">
        <v>39539</v>
      </c>
      <c r="X22" s="26">
        <v>39173</v>
      </c>
    </row>
    <row r="23" spans="1:24" x14ac:dyDescent="0.25">
      <c r="A23" s="20" t="s">
        <v>115</v>
      </c>
      <c r="B23" s="27">
        <f t="shared" ref="B23:B28" si="5">IFERROR(((E23-F23)/F23),"")</f>
        <v>-0.99296600234466592</v>
      </c>
      <c r="C23" s="106">
        <v>-633</v>
      </c>
      <c r="D23" s="1">
        <v>-1117</v>
      </c>
      <c r="E23" s="91">
        <v>12</v>
      </c>
      <c r="F23" s="1">
        <v>1706</v>
      </c>
      <c r="G23" s="1">
        <v>204</v>
      </c>
      <c r="H23" s="1">
        <v>62</v>
      </c>
      <c r="I23" s="1">
        <v>709</v>
      </c>
      <c r="J23" s="1">
        <v>1556</v>
      </c>
      <c r="K23" s="1">
        <v>2364</v>
      </c>
      <c r="L23" s="1">
        <v>1904</v>
      </c>
      <c r="M23" s="1">
        <v>0</v>
      </c>
      <c r="N23" s="1">
        <v>298</v>
      </c>
      <c r="O23" s="1">
        <v>233</v>
      </c>
      <c r="P23" s="1">
        <v>1422</v>
      </c>
      <c r="Q23" s="1">
        <v>715</v>
      </c>
      <c r="R23" s="1">
        <v>26</v>
      </c>
      <c r="S23" s="1">
        <v>1148</v>
      </c>
      <c r="T23" s="1">
        <v>75</v>
      </c>
      <c r="U23" s="1">
        <v>714</v>
      </c>
      <c r="V23" s="1">
        <v>0</v>
      </c>
      <c r="W23" s="1">
        <v>330</v>
      </c>
      <c r="X23" s="29">
        <v>11</v>
      </c>
    </row>
    <row r="24" spans="1:24" x14ac:dyDescent="0.25">
      <c r="A24" s="20" t="s">
        <v>7</v>
      </c>
      <c r="B24" s="27">
        <f t="shared" si="5"/>
        <v>-1</v>
      </c>
      <c r="C24" s="106">
        <v>-2</v>
      </c>
      <c r="D24" s="1">
        <v>-636</v>
      </c>
      <c r="E24" s="91">
        <v>0</v>
      </c>
      <c r="F24" s="1">
        <v>251</v>
      </c>
      <c r="G24" s="1">
        <v>1</v>
      </c>
      <c r="H24" s="1">
        <v>0</v>
      </c>
      <c r="I24" s="1"/>
      <c r="J24" s="1">
        <v>10</v>
      </c>
      <c r="K24" s="1">
        <v>40</v>
      </c>
      <c r="L24" s="1">
        <v>24</v>
      </c>
      <c r="M24" s="1">
        <v>0</v>
      </c>
      <c r="N24" s="1">
        <v>64</v>
      </c>
      <c r="O24" s="1">
        <v>0</v>
      </c>
      <c r="P24" s="1">
        <v>47</v>
      </c>
      <c r="Q24" s="1">
        <v>2</v>
      </c>
      <c r="R24" s="1">
        <v>0</v>
      </c>
      <c r="S24" s="1">
        <v>1030</v>
      </c>
      <c r="T24" s="1">
        <v>2</v>
      </c>
      <c r="U24" s="1">
        <v>542</v>
      </c>
      <c r="V24" s="1">
        <v>0</v>
      </c>
      <c r="W24" s="1">
        <v>596</v>
      </c>
      <c r="X24" s="29">
        <v>3</v>
      </c>
    </row>
    <row r="25" spans="1:24" x14ac:dyDescent="0.25">
      <c r="A25" s="20" t="s">
        <v>116</v>
      </c>
      <c r="B25" s="27">
        <f t="shared" si="5"/>
        <v>-0.94936708860759489</v>
      </c>
      <c r="C25" s="106">
        <v>-7</v>
      </c>
      <c r="D25" s="1">
        <v>-371</v>
      </c>
      <c r="E25" s="91">
        <v>4</v>
      </c>
      <c r="F25" s="1">
        <v>79</v>
      </c>
      <c r="G25" s="1">
        <v>0</v>
      </c>
      <c r="H25" s="1">
        <v>0</v>
      </c>
      <c r="I25" s="1"/>
      <c r="J25" s="1">
        <v>22</v>
      </c>
      <c r="K25" s="1">
        <v>15</v>
      </c>
      <c r="L25" s="1">
        <v>6</v>
      </c>
      <c r="M25" s="1">
        <v>0</v>
      </c>
      <c r="N25" s="1">
        <v>20</v>
      </c>
      <c r="O25" s="1">
        <v>88</v>
      </c>
      <c r="P25" s="1">
        <v>55</v>
      </c>
      <c r="Q25" s="1">
        <v>21</v>
      </c>
      <c r="R25" s="1">
        <v>0</v>
      </c>
      <c r="S25" s="1">
        <v>696</v>
      </c>
      <c r="T25" s="1">
        <v>0</v>
      </c>
      <c r="U25" s="1">
        <v>310</v>
      </c>
      <c r="V25" s="1">
        <v>0</v>
      </c>
      <c r="W25" s="1">
        <v>725</v>
      </c>
      <c r="X25" s="29">
        <v>0</v>
      </c>
    </row>
    <row r="26" spans="1:24" x14ac:dyDescent="0.25">
      <c r="A26" s="20" t="s">
        <v>140</v>
      </c>
      <c r="B26" s="27" t="str">
        <f t="shared" si="5"/>
        <v/>
      </c>
      <c r="C26" s="106">
        <v>0</v>
      </c>
      <c r="D26" s="1">
        <v>0</v>
      </c>
      <c r="E26" s="91">
        <v>0</v>
      </c>
      <c r="F26" s="1">
        <v>0</v>
      </c>
      <c r="G26" s="1">
        <v>0</v>
      </c>
      <c r="H26" s="1">
        <v>0</v>
      </c>
      <c r="I26" s="1"/>
      <c r="J26" s="1">
        <v>0</v>
      </c>
      <c r="K26" s="1">
        <v>10</v>
      </c>
      <c r="L26" s="1"/>
      <c r="M26" s="1">
        <v>0</v>
      </c>
      <c r="N26" s="1">
        <v>0</v>
      </c>
      <c r="O26" s="1"/>
      <c r="P26" s="1"/>
      <c r="Q26" s="1"/>
      <c r="R26" s="1"/>
      <c r="S26" s="1"/>
      <c r="T26" s="1"/>
      <c r="U26" s="1"/>
      <c r="V26" s="1"/>
      <c r="W26" s="1"/>
      <c r="X26" s="29"/>
    </row>
    <row r="27" spans="1:24" ht="13.8" thickBot="1" x14ac:dyDescent="0.3">
      <c r="A27" s="30" t="s">
        <v>58</v>
      </c>
      <c r="B27" s="28">
        <f t="shared" si="5"/>
        <v>-1</v>
      </c>
      <c r="C27" s="105">
        <v>-106</v>
      </c>
      <c r="D27" s="10">
        <v>-225</v>
      </c>
      <c r="E27" s="94">
        <v>0</v>
      </c>
      <c r="F27" s="1">
        <v>63</v>
      </c>
      <c r="G27" s="1">
        <v>49</v>
      </c>
      <c r="H27" s="1">
        <v>1</v>
      </c>
      <c r="I27" s="1">
        <v>4</v>
      </c>
      <c r="J27" s="1">
        <v>47</v>
      </c>
      <c r="K27" s="1">
        <v>30</v>
      </c>
      <c r="L27" s="1">
        <v>80</v>
      </c>
      <c r="M27" s="1">
        <v>0</v>
      </c>
      <c r="N27" s="1">
        <v>45</v>
      </c>
      <c r="O27" s="1">
        <v>35</v>
      </c>
      <c r="P27" s="1">
        <v>97</v>
      </c>
      <c r="Q27" s="1">
        <v>12</v>
      </c>
      <c r="R27" s="1">
        <v>2</v>
      </c>
      <c r="S27" s="1">
        <v>59</v>
      </c>
      <c r="T27" s="1">
        <v>2</v>
      </c>
      <c r="U27" s="1">
        <v>67</v>
      </c>
      <c r="V27" s="1">
        <v>0</v>
      </c>
      <c r="W27" s="1">
        <v>105</v>
      </c>
      <c r="X27" s="29">
        <v>19</v>
      </c>
    </row>
    <row r="28" spans="1:24" ht="13.8" thickBot="1" x14ac:dyDescent="0.3">
      <c r="A28" s="32" t="s">
        <v>22</v>
      </c>
      <c r="B28" s="33">
        <f t="shared" si="5"/>
        <v>-0.99237732253454025</v>
      </c>
      <c r="C28" s="118">
        <v>-748</v>
      </c>
      <c r="D28" s="34">
        <v>-2349</v>
      </c>
      <c r="E28" s="85">
        <f t="shared" ref="E28:F28" si="6">SUM(E23:E27)</f>
        <v>16</v>
      </c>
      <c r="F28" s="43">
        <f t="shared" si="6"/>
        <v>2099</v>
      </c>
      <c r="G28" s="43">
        <f t="shared" ref="G28:J28" si="7">SUM(G23:G27)</f>
        <v>254</v>
      </c>
      <c r="H28" s="43">
        <f t="shared" si="7"/>
        <v>63</v>
      </c>
      <c r="I28" s="43">
        <f t="shared" si="7"/>
        <v>713</v>
      </c>
      <c r="J28" s="43">
        <f t="shared" si="7"/>
        <v>1635</v>
      </c>
      <c r="K28" s="43">
        <v>2459</v>
      </c>
      <c r="L28" s="43">
        <f>SUM(L23:L27)</f>
        <v>2014</v>
      </c>
      <c r="M28" s="43">
        <v>0</v>
      </c>
      <c r="N28" s="43">
        <f>SUM(N23:N27)</f>
        <v>427</v>
      </c>
      <c r="O28" s="43">
        <f>SUM(O23:O27)</f>
        <v>356</v>
      </c>
      <c r="P28" s="43">
        <f>SUM(P23:P27)</f>
        <v>1621</v>
      </c>
      <c r="Q28" s="43">
        <f>SUM(Q23:Q27)</f>
        <v>750</v>
      </c>
      <c r="R28" s="43">
        <f>SUM(R23:R27)</f>
        <v>28</v>
      </c>
      <c r="S28" s="43">
        <f t="shared" ref="S28:X28" si="8">SUM(S23:S27)</f>
        <v>2933</v>
      </c>
      <c r="T28" s="43">
        <f t="shared" si="8"/>
        <v>79</v>
      </c>
      <c r="U28" s="43">
        <f t="shared" si="8"/>
        <v>1633</v>
      </c>
      <c r="V28" s="43">
        <f t="shared" si="8"/>
        <v>0</v>
      </c>
      <c r="W28" s="43">
        <f t="shared" si="8"/>
        <v>1756</v>
      </c>
      <c r="X28" s="79">
        <f t="shared" si="8"/>
        <v>33</v>
      </c>
    </row>
    <row r="35" spans="23:25" ht="17.399999999999999" x14ac:dyDescent="0.3">
      <c r="W35" s="5"/>
      <c r="X35" s="1"/>
      <c r="Y35" s="1"/>
    </row>
    <row r="36" spans="23:25" ht="17.399999999999999" x14ac:dyDescent="0.3">
      <c r="W36" s="5"/>
      <c r="X36" s="1"/>
      <c r="Y36" s="1"/>
    </row>
    <row r="37" spans="23:25" ht="17.399999999999999" x14ac:dyDescent="0.3">
      <c r="W37" s="5"/>
      <c r="X37" s="1"/>
      <c r="Y37" s="1"/>
    </row>
    <row r="38" spans="23:25" ht="17.399999999999999" x14ac:dyDescent="0.3">
      <c r="W38" s="5"/>
      <c r="X38" s="1"/>
      <c r="Y38" s="1"/>
    </row>
    <row r="39" spans="23:25" ht="17.399999999999999" x14ac:dyDescent="0.3">
      <c r="W39" s="5"/>
      <c r="X39" s="1"/>
      <c r="Y39" s="1"/>
    </row>
    <row r="40" spans="23:25" ht="17.399999999999999" x14ac:dyDescent="0.3">
      <c r="W40" s="5"/>
      <c r="X40" s="1"/>
      <c r="Y40" s="1"/>
    </row>
    <row r="41" spans="23:25" ht="17.399999999999999" x14ac:dyDescent="0.3">
      <c r="W41" s="5"/>
      <c r="X41" s="1"/>
      <c r="Y41" s="1"/>
    </row>
    <row r="42" spans="23:25" ht="17.399999999999999" x14ac:dyDescent="0.3">
      <c r="W42" s="5"/>
      <c r="X42" s="1"/>
      <c r="Y42" s="1"/>
    </row>
    <row r="43" spans="23:25" ht="17.399999999999999" x14ac:dyDescent="0.3">
      <c r="W43" s="5"/>
      <c r="X43" s="1"/>
      <c r="Y43" s="1"/>
    </row>
    <row r="44" spans="23:25" ht="17.399999999999999" x14ac:dyDescent="0.3">
      <c r="W44" s="5"/>
      <c r="X44" s="1"/>
      <c r="Y44" s="1"/>
    </row>
    <row r="45" spans="23:25" ht="17.399999999999999" x14ac:dyDescent="0.3">
      <c r="W45" s="6"/>
      <c r="X45" s="1"/>
      <c r="Y45" s="1"/>
    </row>
    <row r="46" spans="23:25" ht="18" x14ac:dyDescent="0.35">
      <c r="W46" s="7"/>
      <c r="X46" s="2"/>
      <c r="Y46" s="2"/>
    </row>
  </sheetData>
  <conditionalFormatting sqref="E1">
    <cfRule type="expression" dxfId="5" priority="2">
      <formula>ISBLANK(XFD1)=FALSE</formula>
    </cfRule>
  </conditionalFormatting>
  <conditionalFormatting sqref="E22">
    <cfRule type="expression" dxfId="4" priority="1">
      <formula>ISBLANK(XFD22)=FALSE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Y37"/>
  <sheetViews>
    <sheetView zoomScaleNormal="100" workbookViewId="0"/>
  </sheetViews>
  <sheetFormatPr defaultColWidth="8.6640625" defaultRowHeight="13.2" x14ac:dyDescent="0.25"/>
  <cols>
    <col min="1" max="1" width="23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2" width="11.6640625" customWidth="1"/>
    <col min="13" max="13" width="11.109375" customWidth="1"/>
    <col min="14" max="14" width="10.6640625" customWidth="1"/>
    <col min="15" max="24" width="10.109375" bestFit="1" customWidth="1"/>
    <col min="25" max="25" width="8.6640625" customWidth="1"/>
    <col min="26" max="26" width="11" customWidth="1"/>
  </cols>
  <sheetData>
    <row r="1" spans="1:24" ht="13.8" thickBot="1" x14ac:dyDescent="0.3">
      <c r="A1" s="38" t="s">
        <v>90</v>
      </c>
      <c r="B1" s="24" t="s">
        <v>169</v>
      </c>
      <c r="C1" s="114" t="s">
        <v>178</v>
      </c>
      <c r="D1" s="69" t="s">
        <v>170</v>
      </c>
      <c r="E1" s="116">
        <v>46113</v>
      </c>
      <c r="F1" s="99">
        <v>45748</v>
      </c>
      <c r="G1" s="99">
        <v>45383</v>
      </c>
      <c r="H1" s="99">
        <v>45017</v>
      </c>
      <c r="I1" s="99">
        <v>44652</v>
      </c>
      <c r="J1" s="99">
        <v>44287</v>
      </c>
      <c r="K1" s="99">
        <v>43922</v>
      </c>
      <c r="L1" s="99">
        <v>43556</v>
      </c>
      <c r="M1" s="99">
        <v>43191</v>
      </c>
      <c r="N1" s="25">
        <v>42826</v>
      </c>
      <c r="O1" s="25">
        <v>42461</v>
      </c>
      <c r="P1" s="25">
        <v>42095</v>
      </c>
      <c r="Q1" s="25">
        <v>41730</v>
      </c>
      <c r="R1" s="25">
        <v>41365</v>
      </c>
      <c r="S1" s="25">
        <v>41000</v>
      </c>
      <c r="T1" s="25">
        <v>40634</v>
      </c>
      <c r="U1" s="25">
        <v>40269</v>
      </c>
      <c r="V1" s="25">
        <v>39904</v>
      </c>
      <c r="W1" s="25">
        <v>39539</v>
      </c>
      <c r="X1" s="26">
        <v>39173</v>
      </c>
    </row>
    <row r="2" spans="1:24" x14ac:dyDescent="0.25">
      <c r="A2" s="20" t="s">
        <v>4</v>
      </c>
      <c r="B2" s="27" t="str">
        <f t="shared" ref="B2:B8" si="0">IFERROR(((E2-F2)/F2),"")</f>
        <v/>
      </c>
      <c r="C2" s="106">
        <v>-818.09</v>
      </c>
      <c r="D2" s="1">
        <v>0</v>
      </c>
      <c r="E2" s="91">
        <v>1015.0000000000001</v>
      </c>
      <c r="F2" s="1">
        <v>0</v>
      </c>
      <c r="G2" s="1">
        <v>24.6</v>
      </c>
      <c r="H2" s="1">
        <v>1003</v>
      </c>
      <c r="I2" s="1">
        <v>2069</v>
      </c>
      <c r="J2" s="1">
        <v>112</v>
      </c>
      <c r="K2" s="1">
        <v>131</v>
      </c>
      <c r="L2" s="1">
        <v>913</v>
      </c>
      <c r="M2" s="1">
        <v>58</v>
      </c>
      <c r="N2" s="37">
        <v>1082</v>
      </c>
      <c r="O2" s="37">
        <v>2244</v>
      </c>
      <c r="P2" s="37">
        <v>2148</v>
      </c>
      <c r="Q2" s="1">
        <v>1000</v>
      </c>
      <c r="R2" s="1">
        <v>0</v>
      </c>
      <c r="S2" s="1">
        <v>1000</v>
      </c>
      <c r="T2" s="1">
        <v>1000</v>
      </c>
      <c r="U2" s="1">
        <v>1000</v>
      </c>
      <c r="V2" s="1">
        <v>5000</v>
      </c>
      <c r="W2" s="1">
        <v>1000</v>
      </c>
      <c r="X2" s="29">
        <v>4000</v>
      </c>
    </row>
    <row r="3" spans="1:24" x14ac:dyDescent="0.25">
      <c r="A3" s="20" t="s">
        <v>2</v>
      </c>
      <c r="B3" s="27">
        <f t="shared" si="0"/>
        <v>0.68262099201526527</v>
      </c>
      <c r="C3" s="106">
        <v>-10862.300000000003</v>
      </c>
      <c r="D3" s="1">
        <v>-9141.4000000000015</v>
      </c>
      <c r="E3" s="91">
        <v>29628.6</v>
      </c>
      <c r="F3" s="1">
        <v>17608.599999999999</v>
      </c>
      <c r="G3" s="1">
        <v>14285.4</v>
      </c>
      <c r="H3" s="1">
        <v>20883</v>
      </c>
      <c r="I3" s="1">
        <v>28457</v>
      </c>
      <c r="J3" s="1">
        <v>10925</v>
      </c>
      <c r="K3" s="1">
        <v>32158</v>
      </c>
      <c r="L3" s="1">
        <v>16922</v>
      </c>
      <c r="M3" s="1">
        <v>12763</v>
      </c>
      <c r="N3" s="37">
        <v>28585</v>
      </c>
      <c r="O3" s="37">
        <v>32577</v>
      </c>
      <c r="P3" s="37">
        <v>36284</v>
      </c>
      <c r="Q3" s="1">
        <v>28000</v>
      </c>
      <c r="R3" s="1">
        <v>21000</v>
      </c>
      <c r="S3" s="1">
        <v>35000</v>
      </c>
      <c r="T3" s="1">
        <v>22000</v>
      </c>
      <c r="U3" s="1">
        <v>37000</v>
      </c>
      <c r="V3" s="1">
        <v>32000</v>
      </c>
      <c r="W3" s="1">
        <v>33000</v>
      </c>
      <c r="X3" s="29">
        <v>28000</v>
      </c>
    </row>
    <row r="4" spans="1:24" x14ac:dyDescent="0.25">
      <c r="A4" s="20" t="s">
        <v>3</v>
      </c>
      <c r="B4" s="27">
        <f t="shared" si="0"/>
        <v>-0.14614121510673234</v>
      </c>
      <c r="C4" s="106">
        <v>-313.3728000000001</v>
      </c>
      <c r="D4" s="1">
        <v>-712</v>
      </c>
      <c r="E4" s="91">
        <v>520</v>
      </c>
      <c r="F4" s="1">
        <v>609</v>
      </c>
      <c r="G4" s="1">
        <v>1563</v>
      </c>
      <c r="H4" s="1">
        <v>1913</v>
      </c>
      <c r="I4" s="1">
        <v>2346</v>
      </c>
      <c r="J4" s="1">
        <v>2752</v>
      </c>
      <c r="K4" s="1">
        <v>3307</v>
      </c>
      <c r="L4" s="1">
        <v>4511</v>
      </c>
      <c r="M4" s="1">
        <v>5054</v>
      </c>
      <c r="N4" s="37">
        <v>6566</v>
      </c>
      <c r="O4" s="37">
        <v>9155</v>
      </c>
      <c r="P4" s="37">
        <v>9508</v>
      </c>
      <c r="Q4" s="1">
        <v>11000</v>
      </c>
      <c r="R4" s="1">
        <v>9000</v>
      </c>
      <c r="S4" s="1">
        <v>9000</v>
      </c>
      <c r="T4" s="1">
        <v>8000</v>
      </c>
      <c r="U4" s="1">
        <v>10000</v>
      </c>
      <c r="V4" s="1">
        <v>12000</v>
      </c>
      <c r="W4" s="1">
        <v>11000</v>
      </c>
      <c r="X4" s="29">
        <v>12000</v>
      </c>
    </row>
    <row r="5" spans="1:24" x14ac:dyDescent="0.25">
      <c r="A5" s="20" t="s">
        <v>106</v>
      </c>
      <c r="B5" s="27">
        <f t="shared" si="0"/>
        <v>0.52250639687284417</v>
      </c>
      <c r="C5" s="106">
        <v>-2486.8471999999965</v>
      </c>
      <c r="D5" s="1">
        <v>-2808</v>
      </c>
      <c r="E5" s="91">
        <v>33106.901599999997</v>
      </c>
      <c r="F5" s="1">
        <v>21745</v>
      </c>
      <c r="G5" s="1">
        <v>21822.6</v>
      </c>
      <c r="H5" s="1">
        <v>26903</v>
      </c>
      <c r="I5" s="1">
        <v>29460</v>
      </c>
      <c r="J5" s="1">
        <v>27086</v>
      </c>
      <c r="K5" s="1">
        <v>31921</v>
      </c>
      <c r="L5" s="1">
        <v>32351</v>
      </c>
      <c r="M5" s="1">
        <v>25649</v>
      </c>
      <c r="N5" s="98">
        <v>47537</v>
      </c>
      <c r="O5" s="98">
        <v>45225</v>
      </c>
      <c r="P5" s="98">
        <v>50505</v>
      </c>
      <c r="Q5" s="70">
        <v>49000</v>
      </c>
      <c r="R5" s="70">
        <v>42000</v>
      </c>
      <c r="S5" s="70">
        <v>73000</v>
      </c>
      <c r="T5" s="70">
        <v>41000</v>
      </c>
      <c r="U5" s="70">
        <v>66000</v>
      </c>
      <c r="V5" s="70">
        <v>68000</v>
      </c>
      <c r="W5" s="1">
        <v>67000</v>
      </c>
      <c r="X5" s="29">
        <v>58000</v>
      </c>
    </row>
    <row r="6" spans="1:24" x14ac:dyDescent="0.25">
      <c r="A6" s="20" t="s">
        <v>133</v>
      </c>
      <c r="B6" s="27">
        <f t="shared" si="0"/>
        <v>1.1411267521799946</v>
      </c>
      <c r="C6" s="106">
        <v>-4312.5599999999977</v>
      </c>
      <c r="D6" s="1">
        <v>-3059.7000000000007</v>
      </c>
      <c r="E6" s="91">
        <v>21583.199999999997</v>
      </c>
      <c r="F6" s="1">
        <v>10080.299999999999</v>
      </c>
      <c r="G6" s="1">
        <v>11750.7</v>
      </c>
      <c r="H6" s="1">
        <v>17670</v>
      </c>
      <c r="I6" s="1">
        <v>19471</v>
      </c>
      <c r="J6" s="1">
        <v>15354</v>
      </c>
      <c r="K6" s="1">
        <v>18241</v>
      </c>
      <c r="L6" s="1">
        <v>20060</v>
      </c>
      <c r="M6" s="1">
        <v>8478</v>
      </c>
      <c r="N6" s="98">
        <v>19933</v>
      </c>
      <c r="O6" s="98">
        <v>16061</v>
      </c>
      <c r="P6" s="98">
        <v>16145</v>
      </c>
      <c r="Q6" s="70">
        <v>12000</v>
      </c>
      <c r="R6" s="70"/>
      <c r="S6" s="70"/>
      <c r="T6" s="70"/>
      <c r="U6" s="70"/>
      <c r="V6" s="70"/>
      <c r="W6" s="1"/>
      <c r="X6" s="29"/>
    </row>
    <row r="7" spans="1:24" ht="13.8" thickBot="1" x14ac:dyDescent="0.3">
      <c r="A7" s="30" t="s">
        <v>58</v>
      </c>
      <c r="B7" s="28">
        <f t="shared" si="0"/>
        <v>1.3542629686697483</v>
      </c>
      <c r="C7" s="105">
        <v>-1167</v>
      </c>
      <c r="D7" s="10">
        <v>-1161.8</v>
      </c>
      <c r="E7" s="94">
        <v>2750.25</v>
      </c>
      <c r="F7" s="1">
        <v>1168.2</v>
      </c>
      <c r="G7" s="1">
        <v>559.20000000000005</v>
      </c>
      <c r="H7" s="1">
        <v>995</v>
      </c>
      <c r="I7" s="1">
        <v>1893</v>
      </c>
      <c r="J7" s="1">
        <v>3222</v>
      </c>
      <c r="K7" s="1">
        <v>3485</v>
      </c>
      <c r="L7" s="1">
        <v>3814</v>
      </c>
      <c r="M7" s="1">
        <v>3911</v>
      </c>
      <c r="N7" s="98">
        <v>4015</v>
      </c>
      <c r="O7" s="98">
        <v>3067</v>
      </c>
      <c r="P7" s="98">
        <v>4023</v>
      </c>
      <c r="Q7" s="70">
        <v>5000</v>
      </c>
      <c r="R7" s="70">
        <v>12000</v>
      </c>
      <c r="S7" s="70">
        <v>14000</v>
      </c>
      <c r="T7" s="70">
        <v>13000</v>
      </c>
      <c r="U7" s="70">
        <v>11000</v>
      </c>
      <c r="V7" s="70">
        <v>3000</v>
      </c>
      <c r="W7" s="1">
        <v>1000</v>
      </c>
      <c r="X7" s="29">
        <v>3000</v>
      </c>
    </row>
    <row r="8" spans="1:24" ht="13.8" thickBot="1" x14ac:dyDescent="0.3">
      <c r="A8" s="32" t="s">
        <v>22</v>
      </c>
      <c r="B8" s="33">
        <f t="shared" si="0"/>
        <v>0.73017083405746053</v>
      </c>
      <c r="C8" s="118">
        <v>-19960.169999999998</v>
      </c>
      <c r="D8" s="34">
        <v>-16882.900000000009</v>
      </c>
      <c r="E8" s="85">
        <f t="shared" ref="E8" si="1">SUM(E2:E7)</f>
        <v>88603.9516</v>
      </c>
      <c r="F8" s="43">
        <f t="shared" ref="F8:G8" si="2">SUM(F2:F7)</f>
        <v>51211.099999999991</v>
      </c>
      <c r="G8" s="43">
        <f t="shared" si="2"/>
        <v>50005.5</v>
      </c>
      <c r="H8" s="43">
        <f t="shared" ref="H8:P8" si="3">SUM(H2:H7)</f>
        <v>69367</v>
      </c>
      <c r="I8" s="43">
        <f t="shared" si="3"/>
        <v>83696</v>
      </c>
      <c r="J8" s="43">
        <f t="shared" si="3"/>
        <v>59451</v>
      </c>
      <c r="K8" s="43">
        <f t="shared" si="3"/>
        <v>89243</v>
      </c>
      <c r="L8" s="43">
        <f t="shared" si="3"/>
        <v>78571</v>
      </c>
      <c r="M8" s="43">
        <f t="shared" si="3"/>
        <v>55913</v>
      </c>
      <c r="N8" s="43">
        <f t="shared" si="3"/>
        <v>107718</v>
      </c>
      <c r="O8" s="43">
        <f t="shared" si="3"/>
        <v>108329</v>
      </c>
      <c r="P8" s="43">
        <f t="shared" si="3"/>
        <v>118613</v>
      </c>
      <c r="Q8" s="43">
        <f t="shared" ref="Q8:X8" si="4">SUM(Q2:Q7)</f>
        <v>106000</v>
      </c>
      <c r="R8" s="43">
        <f t="shared" si="4"/>
        <v>84000</v>
      </c>
      <c r="S8" s="43">
        <f t="shared" si="4"/>
        <v>132000</v>
      </c>
      <c r="T8" s="43">
        <f t="shared" si="4"/>
        <v>85000</v>
      </c>
      <c r="U8" s="43">
        <f t="shared" si="4"/>
        <v>125000</v>
      </c>
      <c r="V8" s="43">
        <f t="shared" si="4"/>
        <v>120000</v>
      </c>
      <c r="W8" s="43">
        <f t="shared" si="4"/>
        <v>113000</v>
      </c>
      <c r="X8" s="79">
        <f t="shared" si="4"/>
        <v>105000</v>
      </c>
    </row>
    <row r="9" spans="1:24" x14ac:dyDescent="0.25"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</row>
    <row r="10" spans="1:24" ht="13.8" thickBot="1" x14ac:dyDescent="0.3"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</row>
    <row r="11" spans="1:24" ht="13.8" thickBot="1" x14ac:dyDescent="0.3">
      <c r="A11" s="23" t="s">
        <v>24</v>
      </c>
      <c r="B11" s="24" t="s">
        <v>169</v>
      </c>
      <c r="C11" s="114" t="s">
        <v>178</v>
      </c>
      <c r="D11" s="69" t="s">
        <v>170</v>
      </c>
      <c r="E11" s="116">
        <v>46113</v>
      </c>
      <c r="F11" s="99">
        <v>45748</v>
      </c>
      <c r="G11" s="99">
        <v>45383</v>
      </c>
      <c r="H11" s="99">
        <v>45017</v>
      </c>
      <c r="I11" s="99">
        <v>44652</v>
      </c>
      <c r="J11" s="99">
        <v>44287</v>
      </c>
      <c r="K11" s="99">
        <v>43922</v>
      </c>
      <c r="L11" s="99">
        <v>43556</v>
      </c>
      <c r="M11" s="99">
        <v>43191</v>
      </c>
      <c r="N11" s="25">
        <v>42826</v>
      </c>
      <c r="O11" s="25">
        <v>42461</v>
      </c>
      <c r="P11" s="25">
        <v>42095</v>
      </c>
      <c r="Q11" s="25">
        <v>41730</v>
      </c>
      <c r="R11" s="25">
        <v>41365</v>
      </c>
      <c r="S11" s="25">
        <v>41000</v>
      </c>
      <c r="T11" s="25">
        <v>40634</v>
      </c>
      <c r="U11" s="25">
        <v>40269</v>
      </c>
      <c r="V11" s="25">
        <v>39904</v>
      </c>
      <c r="W11" s="25">
        <v>39539</v>
      </c>
      <c r="X11" s="26">
        <v>39173</v>
      </c>
    </row>
    <row r="12" spans="1:24" x14ac:dyDescent="0.25">
      <c r="A12" s="20" t="s">
        <v>7</v>
      </c>
      <c r="B12" s="27">
        <f t="shared" ref="B12:B15" si="5">IFERROR(((E12-F12)/F12),"")</f>
        <v>0.20332160730928173</v>
      </c>
      <c r="C12" s="106">
        <v>-29966.50999999998</v>
      </c>
      <c r="D12" s="1">
        <v>-26392.5</v>
      </c>
      <c r="E12" s="91">
        <v>111684.49000000002</v>
      </c>
      <c r="F12" s="1">
        <v>92813.5</v>
      </c>
      <c r="G12" s="1">
        <v>106714</v>
      </c>
      <c r="H12" s="1">
        <v>97084</v>
      </c>
      <c r="I12" s="1">
        <v>88411</v>
      </c>
      <c r="J12" s="1">
        <v>104075</v>
      </c>
      <c r="K12" s="1">
        <v>88793</v>
      </c>
      <c r="L12" s="1">
        <v>103813</v>
      </c>
      <c r="M12" s="1">
        <v>90947</v>
      </c>
      <c r="N12" s="37">
        <v>97997</v>
      </c>
      <c r="O12" s="37">
        <v>99846</v>
      </c>
      <c r="P12" s="37">
        <v>91241</v>
      </c>
      <c r="Q12" s="1">
        <v>80000</v>
      </c>
      <c r="R12" s="1">
        <v>42000</v>
      </c>
      <c r="S12" s="1">
        <v>75000</v>
      </c>
      <c r="T12" s="1">
        <v>59000</v>
      </c>
      <c r="U12" s="1">
        <v>64000</v>
      </c>
      <c r="V12" s="1">
        <v>22000</v>
      </c>
      <c r="W12" s="1">
        <v>41000</v>
      </c>
      <c r="X12" s="29">
        <v>47000</v>
      </c>
    </row>
    <row r="13" spans="1:24" x14ac:dyDescent="0.25">
      <c r="A13" s="20" t="s">
        <v>99</v>
      </c>
      <c r="B13" s="27" t="str">
        <f t="shared" si="5"/>
        <v/>
      </c>
      <c r="C13" s="106">
        <v>-540</v>
      </c>
      <c r="D13" s="1">
        <v>0</v>
      </c>
      <c r="E13" s="9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/>
      <c r="L13" s="1">
        <v>0</v>
      </c>
      <c r="M13" s="1">
        <v>0</v>
      </c>
      <c r="N13" s="37">
        <v>35</v>
      </c>
      <c r="O13" s="37">
        <v>20</v>
      </c>
      <c r="P13" s="37">
        <v>274</v>
      </c>
      <c r="Q13" s="1">
        <v>200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29">
        <v>0</v>
      </c>
    </row>
    <row r="14" spans="1:24" ht="13.8" thickBot="1" x14ac:dyDescent="0.3">
      <c r="A14" s="30" t="s">
        <v>6</v>
      </c>
      <c r="B14" s="28">
        <f t="shared" si="5"/>
        <v>3.4444444444444446</v>
      </c>
      <c r="C14" s="105">
        <v>-2432</v>
      </c>
      <c r="D14" s="10">
        <v>-2543</v>
      </c>
      <c r="E14" s="94">
        <v>7200</v>
      </c>
      <c r="F14" s="1">
        <v>1620</v>
      </c>
      <c r="G14" s="1">
        <v>3049.3</v>
      </c>
      <c r="H14" s="1">
        <v>2996</v>
      </c>
      <c r="I14" s="1">
        <v>3016</v>
      </c>
      <c r="J14" s="1">
        <v>2258</v>
      </c>
      <c r="K14" s="1">
        <v>2508</v>
      </c>
      <c r="L14" s="1">
        <v>3814</v>
      </c>
      <c r="M14" s="1">
        <v>1484</v>
      </c>
      <c r="N14" s="37">
        <v>1837</v>
      </c>
      <c r="O14" s="37">
        <v>1503</v>
      </c>
      <c r="P14" s="37">
        <v>748</v>
      </c>
      <c r="Q14" s="1">
        <v>4000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29">
        <v>0</v>
      </c>
    </row>
    <row r="15" spans="1:24" ht="13.8" thickBot="1" x14ac:dyDescent="0.3">
      <c r="A15" s="32" t="s">
        <v>22</v>
      </c>
      <c r="B15" s="33">
        <f t="shared" si="5"/>
        <v>0.25892283988203357</v>
      </c>
      <c r="C15" s="118">
        <v>-32938.50999999998</v>
      </c>
      <c r="D15" s="34">
        <v>-28935.5</v>
      </c>
      <c r="E15" s="85">
        <f t="shared" ref="E15" si="6">SUM(E12:E14)</f>
        <v>118884.49000000002</v>
      </c>
      <c r="F15" s="43">
        <f t="shared" ref="F15:G15" si="7">SUM(F12:F14)</f>
        <v>94433.5</v>
      </c>
      <c r="G15" s="43">
        <f t="shared" si="7"/>
        <v>109763.3</v>
      </c>
      <c r="H15" s="43">
        <f t="shared" ref="H15:L15" si="8">SUM(H12:H14)</f>
        <v>100080</v>
      </c>
      <c r="I15" s="43">
        <f t="shared" si="8"/>
        <v>91427</v>
      </c>
      <c r="J15" s="43">
        <f t="shared" si="8"/>
        <v>106333</v>
      </c>
      <c r="K15" s="43">
        <f t="shared" si="8"/>
        <v>91301</v>
      </c>
      <c r="L15" s="43">
        <f t="shared" si="8"/>
        <v>107627</v>
      </c>
      <c r="M15" s="43">
        <f t="shared" ref="M15:R15" si="9">SUM(M12:M14)</f>
        <v>92431</v>
      </c>
      <c r="N15" s="43">
        <f t="shared" si="9"/>
        <v>99869</v>
      </c>
      <c r="O15" s="43">
        <f t="shared" si="9"/>
        <v>101369</v>
      </c>
      <c r="P15" s="43">
        <f t="shared" si="9"/>
        <v>92263</v>
      </c>
      <c r="Q15" s="43">
        <f t="shared" si="9"/>
        <v>84200</v>
      </c>
      <c r="R15" s="43">
        <f t="shared" si="9"/>
        <v>42000</v>
      </c>
      <c r="S15" s="43">
        <f t="shared" ref="S15:X15" si="10">SUM(S12:S14)</f>
        <v>75000</v>
      </c>
      <c r="T15" s="43">
        <f t="shared" si="10"/>
        <v>59000</v>
      </c>
      <c r="U15" s="43">
        <f t="shared" si="10"/>
        <v>64000</v>
      </c>
      <c r="V15" s="43">
        <f t="shared" si="10"/>
        <v>22000</v>
      </c>
      <c r="W15" s="43">
        <f t="shared" si="10"/>
        <v>41000</v>
      </c>
      <c r="X15" s="79">
        <f t="shared" si="10"/>
        <v>47000</v>
      </c>
    </row>
    <row r="21" spans="4:25" ht="14.4" x14ac:dyDescent="0.25">
      <c r="D21" s="162"/>
      <c r="E21" s="162"/>
    </row>
    <row r="22" spans="4:25" ht="17.399999999999999" x14ac:dyDescent="0.3">
      <c r="D22" s="163"/>
      <c r="E22" s="163"/>
      <c r="W22" s="5"/>
      <c r="X22" s="1"/>
      <c r="Y22" s="1"/>
    </row>
    <row r="23" spans="4:25" ht="17.399999999999999" x14ac:dyDescent="0.3">
      <c r="D23" s="163"/>
      <c r="E23" s="163"/>
      <c r="W23" s="5"/>
      <c r="X23" s="1"/>
      <c r="Y23" s="1"/>
    </row>
    <row r="24" spans="4:25" ht="17.399999999999999" x14ac:dyDescent="0.3">
      <c r="D24" s="163"/>
      <c r="E24" s="163"/>
      <c r="W24" s="5"/>
      <c r="X24" s="1"/>
      <c r="Y24" s="1"/>
    </row>
    <row r="25" spans="4:25" ht="17.399999999999999" x14ac:dyDescent="0.3">
      <c r="D25" s="163"/>
      <c r="E25" s="163"/>
      <c r="W25" s="5"/>
      <c r="X25" s="1"/>
      <c r="Y25" s="1"/>
    </row>
    <row r="26" spans="4:25" ht="17.399999999999999" x14ac:dyDescent="0.3">
      <c r="D26" s="163"/>
      <c r="E26" s="163"/>
      <c r="W26" s="5"/>
      <c r="X26" s="1"/>
      <c r="Y26" s="1"/>
    </row>
    <row r="27" spans="4:25" ht="17.399999999999999" x14ac:dyDescent="0.3">
      <c r="D27" s="163"/>
      <c r="E27" s="163"/>
      <c r="W27" s="5"/>
      <c r="X27" s="1"/>
      <c r="Y27" s="1"/>
    </row>
    <row r="28" spans="4:25" ht="17.399999999999999" x14ac:dyDescent="0.3">
      <c r="D28" s="163"/>
      <c r="E28" s="163"/>
      <c r="W28" s="5"/>
      <c r="X28" s="1"/>
      <c r="Y28" s="1"/>
    </row>
    <row r="29" spans="4:25" ht="17.399999999999999" x14ac:dyDescent="0.3">
      <c r="D29" s="163"/>
      <c r="E29" s="163"/>
      <c r="W29" s="5"/>
      <c r="X29" s="1"/>
      <c r="Y29" s="1"/>
    </row>
    <row r="30" spans="4:25" ht="17.399999999999999" x14ac:dyDescent="0.3">
      <c r="D30" s="163"/>
      <c r="E30" s="163"/>
      <c r="W30" s="5"/>
      <c r="X30" s="1"/>
      <c r="Y30" s="1"/>
    </row>
    <row r="31" spans="4:25" ht="17.399999999999999" x14ac:dyDescent="0.3">
      <c r="D31" s="163"/>
      <c r="E31" s="163"/>
      <c r="W31" s="5"/>
      <c r="X31" s="1"/>
      <c r="Y31" s="1"/>
    </row>
    <row r="32" spans="4:25" ht="17.399999999999999" x14ac:dyDescent="0.3">
      <c r="D32" s="163"/>
      <c r="E32" s="163"/>
      <c r="W32" s="6"/>
      <c r="X32" s="1"/>
      <c r="Y32" s="1"/>
    </row>
    <row r="33" spans="4:25" ht="18" x14ac:dyDescent="0.35">
      <c r="D33" s="163"/>
      <c r="E33" s="163"/>
      <c r="W33" s="7"/>
      <c r="X33" s="2"/>
      <c r="Y33" s="2"/>
    </row>
    <row r="34" spans="4:25" x14ac:dyDescent="0.25">
      <c r="D34" s="163"/>
      <c r="E34" s="163"/>
    </row>
    <row r="35" spans="4:25" x14ac:dyDescent="0.25">
      <c r="D35" s="163"/>
      <c r="E35" s="163"/>
    </row>
    <row r="36" spans="4:25" x14ac:dyDescent="0.25">
      <c r="D36" s="163"/>
      <c r="E36" s="163"/>
    </row>
    <row r="37" spans="4:25" x14ac:dyDescent="0.25">
      <c r="D37" s="163"/>
      <c r="E37" s="163"/>
    </row>
  </sheetData>
  <conditionalFormatting sqref="E1">
    <cfRule type="expression" dxfId="3" priority="2">
      <formula>ISBLANK(XFD1)=FALSE</formula>
    </cfRule>
  </conditionalFormatting>
  <conditionalFormatting sqref="E11">
    <cfRule type="expression" dxfId="2" priority="1">
      <formula>ISBLANK(XFD11)=FALSE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Y25"/>
  <sheetViews>
    <sheetView zoomScaleNormal="100" workbookViewId="0"/>
  </sheetViews>
  <sheetFormatPr defaultColWidth="8.6640625" defaultRowHeight="13.2" x14ac:dyDescent="0.25"/>
  <cols>
    <col min="1" max="1" width="18.10937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3" width="11.6640625" customWidth="1"/>
    <col min="14" max="14" width="10.6640625" customWidth="1"/>
    <col min="15" max="24" width="10.109375" bestFit="1" customWidth="1"/>
  </cols>
  <sheetData>
    <row r="1" spans="1:25" ht="13.8" thickBot="1" x14ac:dyDescent="0.3">
      <c r="A1" s="38" t="s">
        <v>90</v>
      </c>
      <c r="B1" s="24" t="s">
        <v>169</v>
      </c>
      <c r="C1" s="114" t="s">
        <v>178</v>
      </c>
      <c r="D1" s="69" t="s">
        <v>170</v>
      </c>
      <c r="E1" s="116">
        <v>46113</v>
      </c>
      <c r="F1" s="99">
        <v>45748</v>
      </c>
      <c r="G1" s="99">
        <v>45383</v>
      </c>
      <c r="H1" s="99">
        <v>45017</v>
      </c>
      <c r="I1" s="99">
        <v>44652</v>
      </c>
      <c r="J1" s="99">
        <v>44287</v>
      </c>
      <c r="K1" s="99">
        <v>43922</v>
      </c>
      <c r="L1" s="99">
        <v>43556</v>
      </c>
      <c r="M1" s="99">
        <v>43191</v>
      </c>
      <c r="N1" s="25">
        <v>42826</v>
      </c>
      <c r="O1" s="25">
        <v>42461</v>
      </c>
      <c r="P1" s="25">
        <v>42095</v>
      </c>
      <c r="Q1" s="25">
        <v>41730</v>
      </c>
      <c r="R1" s="25">
        <v>41365</v>
      </c>
      <c r="S1" s="25">
        <v>41000</v>
      </c>
      <c r="T1" s="25">
        <v>40634</v>
      </c>
      <c r="U1" s="25">
        <v>40269</v>
      </c>
      <c r="V1" s="25">
        <v>39904</v>
      </c>
      <c r="W1" s="25">
        <v>39539</v>
      </c>
      <c r="X1" s="26">
        <v>39173</v>
      </c>
    </row>
    <row r="2" spans="1:25" x14ac:dyDescent="0.25">
      <c r="A2" s="39" t="s">
        <v>11</v>
      </c>
      <c r="B2" s="44">
        <f t="shared" ref="B2:B12" si="0">IFERROR(((E2-F2)/F2),"")</f>
        <v>-0.12477064220183487</v>
      </c>
      <c r="C2" s="107">
        <v>-5344</v>
      </c>
      <c r="D2" s="37">
        <v>-5483</v>
      </c>
      <c r="E2" s="91">
        <v>9540</v>
      </c>
      <c r="F2" s="37">
        <v>10900</v>
      </c>
      <c r="G2" s="37">
        <v>3710</v>
      </c>
      <c r="H2" s="37">
        <v>8403</v>
      </c>
      <c r="I2" s="37">
        <v>8887</v>
      </c>
      <c r="J2" s="37">
        <v>5511</v>
      </c>
      <c r="K2" s="37">
        <v>6131</v>
      </c>
      <c r="L2" s="37">
        <v>5088</v>
      </c>
      <c r="M2" s="37">
        <v>1622</v>
      </c>
      <c r="N2" s="37">
        <v>5410</v>
      </c>
      <c r="O2" s="37">
        <v>4950</v>
      </c>
      <c r="P2" s="37">
        <v>2700</v>
      </c>
      <c r="Q2" s="37">
        <v>3800</v>
      </c>
      <c r="R2" s="37">
        <v>300</v>
      </c>
      <c r="S2" s="37">
        <v>3200</v>
      </c>
      <c r="T2" s="37">
        <v>2000</v>
      </c>
      <c r="U2" s="37">
        <v>1800</v>
      </c>
      <c r="V2" s="37">
        <v>1000</v>
      </c>
      <c r="W2" s="37">
        <v>900</v>
      </c>
      <c r="X2" s="59">
        <v>0</v>
      </c>
    </row>
    <row r="3" spans="1:25" x14ac:dyDescent="0.25">
      <c r="A3" s="39" t="s">
        <v>35</v>
      </c>
      <c r="B3" s="44">
        <f t="shared" si="0"/>
        <v>-0.3047456905724622</v>
      </c>
      <c r="C3" s="107">
        <v>-963</v>
      </c>
      <c r="D3" s="37">
        <v>-500</v>
      </c>
      <c r="E3" s="91">
        <v>3267</v>
      </c>
      <c r="F3" s="37">
        <v>4699</v>
      </c>
      <c r="G3" s="37">
        <v>1532</v>
      </c>
      <c r="H3" s="37">
        <v>5093</v>
      </c>
      <c r="I3" s="37">
        <v>1922</v>
      </c>
      <c r="J3" s="37">
        <v>4489</v>
      </c>
      <c r="K3" s="37">
        <v>2005</v>
      </c>
      <c r="L3" s="37">
        <v>19800</v>
      </c>
      <c r="M3" s="37">
        <v>18000</v>
      </c>
      <c r="N3" s="37">
        <v>19850</v>
      </c>
      <c r="O3" s="37">
        <v>16000</v>
      </c>
      <c r="P3" s="37">
        <v>29000</v>
      </c>
      <c r="Q3" s="37">
        <v>26000</v>
      </c>
      <c r="R3" s="37">
        <v>10000</v>
      </c>
      <c r="S3" s="37">
        <v>25000</v>
      </c>
      <c r="T3" s="37">
        <v>26000</v>
      </c>
      <c r="U3" s="37">
        <v>26000</v>
      </c>
      <c r="V3" s="37">
        <v>28000</v>
      </c>
      <c r="W3" s="37">
        <v>20000</v>
      </c>
      <c r="X3" s="59">
        <v>25000</v>
      </c>
    </row>
    <row r="4" spans="1:25" x14ac:dyDescent="0.25">
      <c r="A4" s="39" t="s">
        <v>28</v>
      </c>
      <c r="B4" s="44">
        <f t="shared" si="0"/>
        <v>-8.4578804347826081E-2</v>
      </c>
      <c r="C4" s="107">
        <v>-1579</v>
      </c>
      <c r="D4" s="37">
        <v>-909</v>
      </c>
      <c r="E4" s="91">
        <v>2695</v>
      </c>
      <c r="F4" s="37">
        <v>2944</v>
      </c>
      <c r="G4" s="37">
        <v>336</v>
      </c>
      <c r="H4" s="37">
        <v>2827</v>
      </c>
      <c r="I4" s="37">
        <v>1070</v>
      </c>
      <c r="J4" s="37">
        <v>2109</v>
      </c>
      <c r="K4" s="37">
        <v>647</v>
      </c>
      <c r="L4" s="37">
        <v>1314</v>
      </c>
      <c r="M4" s="37">
        <v>256</v>
      </c>
      <c r="N4" s="37">
        <v>0</v>
      </c>
      <c r="O4" s="37">
        <v>1100</v>
      </c>
      <c r="P4" s="37">
        <v>300</v>
      </c>
      <c r="Q4" s="37">
        <v>300</v>
      </c>
      <c r="R4" s="37">
        <v>0</v>
      </c>
      <c r="S4" s="37">
        <v>0</v>
      </c>
      <c r="T4" s="37">
        <v>0</v>
      </c>
      <c r="U4" s="37">
        <v>200</v>
      </c>
      <c r="V4" s="37">
        <v>0</v>
      </c>
      <c r="W4" s="37">
        <v>0</v>
      </c>
      <c r="X4" s="59">
        <v>0</v>
      </c>
    </row>
    <row r="5" spans="1:25" x14ac:dyDescent="0.25">
      <c r="A5" s="39" t="s">
        <v>5</v>
      </c>
      <c r="B5" s="44" t="str">
        <f t="shared" si="0"/>
        <v/>
      </c>
      <c r="C5" s="107">
        <v>-530</v>
      </c>
      <c r="D5" s="37">
        <v>-163</v>
      </c>
      <c r="E5" s="91">
        <v>313</v>
      </c>
      <c r="F5" s="37"/>
      <c r="G5" s="37"/>
      <c r="H5" s="37">
        <v>433</v>
      </c>
      <c r="I5" s="37">
        <v>111</v>
      </c>
      <c r="J5" s="37">
        <v>92</v>
      </c>
      <c r="K5" s="37">
        <v>142</v>
      </c>
      <c r="L5" s="37">
        <v>316</v>
      </c>
      <c r="M5" s="37">
        <v>53</v>
      </c>
      <c r="N5" s="37">
        <v>210</v>
      </c>
      <c r="O5" s="37">
        <v>1700</v>
      </c>
      <c r="P5" s="37">
        <v>0</v>
      </c>
      <c r="Q5" s="37">
        <v>1900</v>
      </c>
      <c r="R5" s="37">
        <v>100</v>
      </c>
      <c r="S5" s="37">
        <v>1400</v>
      </c>
      <c r="T5" s="37">
        <v>1000</v>
      </c>
      <c r="U5" s="37">
        <v>1200</v>
      </c>
      <c r="V5" s="37">
        <v>700</v>
      </c>
      <c r="W5" s="37">
        <v>1000</v>
      </c>
      <c r="X5" s="59">
        <v>0</v>
      </c>
    </row>
    <row r="6" spans="1:25" x14ac:dyDescent="0.25">
      <c r="A6" s="39" t="s">
        <v>9</v>
      </c>
      <c r="B6" s="44">
        <f t="shared" si="0"/>
        <v>0.75756025175254571</v>
      </c>
      <c r="C6" s="107">
        <v>-8471</v>
      </c>
      <c r="D6" s="37">
        <v>-9251</v>
      </c>
      <c r="E6" s="91">
        <v>34348</v>
      </c>
      <c r="F6" s="37">
        <v>19543</v>
      </c>
      <c r="G6" s="37">
        <v>12377</v>
      </c>
      <c r="H6" s="37">
        <v>25666</v>
      </c>
      <c r="I6" s="37">
        <v>16171</v>
      </c>
      <c r="J6" s="37">
        <v>10974</v>
      </c>
      <c r="K6" s="37">
        <v>14028</v>
      </c>
      <c r="L6" s="37">
        <v>10885</v>
      </c>
      <c r="M6" s="37">
        <v>6540</v>
      </c>
      <c r="N6" s="37">
        <v>5540</v>
      </c>
      <c r="O6" s="37">
        <v>10100</v>
      </c>
      <c r="P6" s="37">
        <v>1400</v>
      </c>
      <c r="Q6" s="37">
        <v>3700</v>
      </c>
      <c r="R6" s="37">
        <v>1500</v>
      </c>
      <c r="S6" s="37">
        <v>2200</v>
      </c>
      <c r="T6" s="37">
        <v>1000</v>
      </c>
      <c r="U6" s="37">
        <v>800</v>
      </c>
      <c r="V6" s="37">
        <v>100</v>
      </c>
      <c r="W6" s="37">
        <v>0</v>
      </c>
      <c r="X6" s="59">
        <v>0</v>
      </c>
    </row>
    <row r="7" spans="1:25" x14ac:dyDescent="0.25">
      <c r="A7" s="39" t="s">
        <v>26</v>
      </c>
      <c r="B7" s="44" t="str">
        <f t="shared" si="0"/>
        <v/>
      </c>
      <c r="C7" s="107">
        <v>0</v>
      </c>
      <c r="D7" s="37">
        <v>0</v>
      </c>
      <c r="E7" s="112"/>
      <c r="F7" s="37"/>
      <c r="G7" s="37"/>
      <c r="H7" s="37"/>
      <c r="I7" s="37"/>
      <c r="J7" s="37"/>
      <c r="K7" s="37"/>
      <c r="L7" s="37">
        <v>84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7">
        <v>0</v>
      </c>
      <c r="V7" s="37">
        <v>0</v>
      </c>
      <c r="W7" s="37">
        <v>0</v>
      </c>
      <c r="X7" s="59">
        <v>0</v>
      </c>
      <c r="Y7" s="1"/>
    </row>
    <row r="8" spans="1:25" x14ac:dyDescent="0.25">
      <c r="A8" s="39" t="s">
        <v>25</v>
      </c>
      <c r="B8" s="119" t="str">
        <f t="shared" si="0"/>
        <v/>
      </c>
      <c r="C8" s="107">
        <v>0</v>
      </c>
      <c r="D8" s="37">
        <v>0</v>
      </c>
      <c r="E8" s="112"/>
      <c r="F8" s="37"/>
      <c r="G8" s="37"/>
      <c r="H8" s="37"/>
      <c r="I8" s="37"/>
      <c r="J8" s="37"/>
      <c r="K8" s="37"/>
      <c r="L8" s="37"/>
      <c r="M8" s="37">
        <v>256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500</v>
      </c>
      <c r="U8" s="37">
        <v>700</v>
      </c>
      <c r="V8" s="37">
        <v>500</v>
      </c>
      <c r="W8" s="37">
        <v>0</v>
      </c>
      <c r="X8" s="59">
        <v>0</v>
      </c>
    </row>
    <row r="9" spans="1:25" x14ac:dyDescent="0.25">
      <c r="A9" s="39" t="s">
        <v>34</v>
      </c>
      <c r="B9" s="119" t="str">
        <f t="shared" si="0"/>
        <v/>
      </c>
      <c r="C9" s="107">
        <v>0</v>
      </c>
      <c r="D9" s="37">
        <v>0</v>
      </c>
      <c r="E9" s="112"/>
      <c r="F9" s="37"/>
      <c r="G9" s="37"/>
      <c r="H9" s="37"/>
      <c r="I9" s="37"/>
      <c r="J9" s="37"/>
      <c r="K9" s="37"/>
      <c r="L9" s="37"/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  <c r="W9" s="37">
        <v>0</v>
      </c>
      <c r="X9" s="59">
        <v>0</v>
      </c>
    </row>
    <row r="10" spans="1:25" x14ac:dyDescent="0.25">
      <c r="A10" s="39" t="s">
        <v>133</v>
      </c>
      <c r="B10" s="119">
        <f t="shared" si="0"/>
        <v>0.48008629273149683</v>
      </c>
      <c r="C10" s="107">
        <v>-2757</v>
      </c>
      <c r="D10" s="37">
        <v>-2213</v>
      </c>
      <c r="E10" s="112">
        <v>8919</v>
      </c>
      <c r="F10" s="37">
        <v>6026</v>
      </c>
      <c r="G10" s="37">
        <v>4439</v>
      </c>
      <c r="H10" s="37">
        <v>7456</v>
      </c>
      <c r="I10" s="37">
        <v>4746</v>
      </c>
      <c r="J10" s="37">
        <v>0</v>
      </c>
      <c r="K10" s="37"/>
      <c r="L10" s="37">
        <v>2732</v>
      </c>
      <c r="M10" s="37">
        <v>1359</v>
      </c>
      <c r="N10" s="37">
        <v>0</v>
      </c>
      <c r="O10" s="37">
        <v>3200</v>
      </c>
      <c r="P10" s="37">
        <v>2000</v>
      </c>
      <c r="Q10" s="37">
        <v>1500</v>
      </c>
      <c r="R10" s="37">
        <v>500</v>
      </c>
      <c r="S10" s="37">
        <v>300</v>
      </c>
      <c r="T10" s="37">
        <v>1000</v>
      </c>
      <c r="U10" s="37">
        <v>800</v>
      </c>
      <c r="V10" s="37"/>
      <c r="W10" s="37">
        <v>600</v>
      </c>
      <c r="X10" s="59">
        <v>0</v>
      </c>
    </row>
    <row r="11" spans="1:25" ht="13.8" thickBot="1" x14ac:dyDescent="0.3">
      <c r="A11" s="40" t="s">
        <v>6</v>
      </c>
      <c r="B11" s="119">
        <f t="shared" si="0"/>
        <v>1.683371298405467</v>
      </c>
      <c r="C11" s="107">
        <v>-406</v>
      </c>
      <c r="D11" s="37">
        <v>-622</v>
      </c>
      <c r="E11" s="91">
        <v>1178</v>
      </c>
      <c r="F11" s="37">
        <v>439</v>
      </c>
      <c r="G11" s="37">
        <v>84</v>
      </c>
      <c r="H11" s="37">
        <v>608</v>
      </c>
      <c r="I11" s="37">
        <v>468</v>
      </c>
      <c r="J11" s="37">
        <v>511</v>
      </c>
      <c r="K11" s="37"/>
      <c r="L11" s="37">
        <v>974</v>
      </c>
      <c r="M11" s="37">
        <v>0</v>
      </c>
      <c r="N11" s="37">
        <v>2410</v>
      </c>
      <c r="O11" s="37">
        <v>0</v>
      </c>
      <c r="P11" s="37">
        <v>0</v>
      </c>
      <c r="Q11" s="37">
        <v>300</v>
      </c>
      <c r="R11" s="37">
        <v>0</v>
      </c>
      <c r="S11" s="37">
        <v>0</v>
      </c>
      <c r="T11" s="37">
        <v>0</v>
      </c>
      <c r="U11" s="37">
        <v>0</v>
      </c>
      <c r="V11" s="37">
        <v>700</v>
      </c>
      <c r="W11" s="37">
        <v>0</v>
      </c>
      <c r="X11" s="59">
        <v>0</v>
      </c>
    </row>
    <row r="12" spans="1:25" s="8" customFormat="1" ht="13.8" thickBot="1" x14ac:dyDescent="0.3">
      <c r="A12" s="41" t="s">
        <v>91</v>
      </c>
      <c r="B12" s="164">
        <f t="shared" si="0"/>
        <v>0.35260712441920494</v>
      </c>
      <c r="C12" s="109">
        <v>-20050</v>
      </c>
      <c r="D12" s="43">
        <v>-19141</v>
      </c>
      <c r="E12" s="113">
        <f>SUM(E2:E11)</f>
        <v>60260</v>
      </c>
      <c r="F12" s="43">
        <f>SUM(F2:F11)</f>
        <v>44551</v>
      </c>
      <c r="G12" s="43">
        <f>SUM(G2:G11)</f>
        <v>22478</v>
      </c>
      <c r="H12" s="43">
        <f>SUM(H2:H11)</f>
        <v>50486</v>
      </c>
      <c r="I12" s="43">
        <f t="shared" ref="I12:O12" si="1">SUM(I2:I11)</f>
        <v>33375</v>
      </c>
      <c r="J12" s="43">
        <f t="shared" si="1"/>
        <v>23686</v>
      </c>
      <c r="K12" s="43">
        <f t="shared" si="1"/>
        <v>22953</v>
      </c>
      <c r="L12" s="43">
        <f t="shared" si="1"/>
        <v>41193</v>
      </c>
      <c r="M12" s="43">
        <f t="shared" si="1"/>
        <v>28086</v>
      </c>
      <c r="N12" s="43">
        <f t="shared" si="1"/>
        <v>33420</v>
      </c>
      <c r="O12" s="43">
        <f t="shared" si="1"/>
        <v>37050</v>
      </c>
      <c r="P12" s="43">
        <v>35400</v>
      </c>
      <c r="Q12" s="43">
        <f>SUM(Q2:Q11)</f>
        <v>37500</v>
      </c>
      <c r="R12" s="43">
        <f>SUM(R2:R11)</f>
        <v>12400</v>
      </c>
      <c r="S12" s="43">
        <f t="shared" ref="S12:X12" si="2">SUM(S2:S11)</f>
        <v>32100</v>
      </c>
      <c r="T12" s="43">
        <f t="shared" si="2"/>
        <v>31500</v>
      </c>
      <c r="U12" s="43">
        <f t="shared" si="2"/>
        <v>31500</v>
      </c>
      <c r="V12" s="43">
        <f t="shared" si="2"/>
        <v>31000</v>
      </c>
      <c r="W12" s="43">
        <f t="shared" si="2"/>
        <v>22500</v>
      </c>
      <c r="X12" s="79">
        <f t="shared" si="2"/>
        <v>25000</v>
      </c>
    </row>
    <row r="13" spans="1:25" x14ac:dyDescent="0.25">
      <c r="B13" s="148"/>
    </row>
    <row r="14" spans="1:25" ht="13.8" thickBot="1" x14ac:dyDescent="0.3">
      <c r="B14" s="15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5" s="46" customFormat="1" ht="13.8" thickBot="1" x14ac:dyDescent="0.3">
      <c r="A15" s="47" t="s">
        <v>90</v>
      </c>
      <c r="B15" s="24" t="s">
        <v>169</v>
      </c>
      <c r="C15" s="114" t="s">
        <v>178</v>
      </c>
      <c r="D15" s="69" t="s">
        <v>170</v>
      </c>
      <c r="E15" s="116">
        <v>46113</v>
      </c>
      <c r="F15" s="99">
        <v>45748</v>
      </c>
      <c r="G15" s="99">
        <v>45383</v>
      </c>
      <c r="H15" s="99">
        <v>45017</v>
      </c>
      <c r="I15" s="99">
        <v>44652</v>
      </c>
      <c r="J15" s="99">
        <v>44287</v>
      </c>
      <c r="K15" s="99">
        <v>43922</v>
      </c>
      <c r="L15" s="99">
        <v>43556</v>
      </c>
      <c r="M15" s="99">
        <v>43191</v>
      </c>
      <c r="N15" s="25">
        <v>42826</v>
      </c>
      <c r="O15" s="25">
        <v>42461</v>
      </c>
      <c r="P15" s="25">
        <v>42095</v>
      </c>
      <c r="Q15" s="25">
        <v>41730</v>
      </c>
      <c r="R15" s="25">
        <v>41365</v>
      </c>
      <c r="S15" s="25">
        <v>41000</v>
      </c>
      <c r="T15" s="25">
        <v>40634</v>
      </c>
      <c r="U15" s="25">
        <v>40269</v>
      </c>
      <c r="V15" s="25">
        <v>39904</v>
      </c>
      <c r="W15" s="25">
        <v>39539</v>
      </c>
      <c r="X15" s="26">
        <v>39173</v>
      </c>
    </row>
    <row r="16" spans="1:25" s="46" customFormat="1" x14ac:dyDescent="0.25">
      <c r="A16" s="48" t="s">
        <v>7</v>
      </c>
      <c r="B16" s="131">
        <f t="shared" ref="B16:B19" si="3">IFERROR(((E16-F16)/F16),"")</f>
        <v>1.0905298289528578</v>
      </c>
      <c r="C16" s="130">
        <v>-2241</v>
      </c>
      <c r="D16" s="50">
        <v>-2091</v>
      </c>
      <c r="E16" s="91">
        <v>5011</v>
      </c>
      <c r="F16" s="50">
        <v>2397</v>
      </c>
      <c r="G16" s="50">
        <v>957</v>
      </c>
      <c r="H16" s="50">
        <v>2080</v>
      </c>
      <c r="I16" s="50">
        <v>1390</v>
      </c>
      <c r="J16" s="50">
        <v>1498</v>
      </c>
      <c r="K16" s="50">
        <v>113</v>
      </c>
      <c r="L16" s="50">
        <v>751</v>
      </c>
      <c r="M16" s="50">
        <v>898</v>
      </c>
      <c r="N16" s="50">
        <v>2150</v>
      </c>
      <c r="O16" s="50">
        <v>1850</v>
      </c>
      <c r="P16" s="50">
        <v>1500</v>
      </c>
      <c r="Q16" s="50">
        <v>2800</v>
      </c>
      <c r="R16" s="50">
        <v>2500</v>
      </c>
      <c r="S16" s="50">
        <v>2500</v>
      </c>
      <c r="T16" s="50">
        <v>2500</v>
      </c>
      <c r="U16" s="50">
        <v>2900</v>
      </c>
      <c r="V16" s="50">
        <v>1000</v>
      </c>
      <c r="W16" s="50">
        <v>800</v>
      </c>
      <c r="X16" s="60">
        <v>1000</v>
      </c>
    </row>
    <row r="17" spans="1:24" s="46" customFormat="1" x14ac:dyDescent="0.25">
      <c r="A17" s="48" t="s">
        <v>92</v>
      </c>
      <c r="B17" s="131" t="str">
        <f t="shared" si="3"/>
        <v/>
      </c>
      <c r="C17" s="130">
        <v>0</v>
      </c>
      <c r="D17" s="50">
        <v>0</v>
      </c>
      <c r="E17" s="91"/>
      <c r="F17" s="50"/>
      <c r="G17" s="50"/>
      <c r="H17" s="50"/>
      <c r="I17" s="50"/>
      <c r="J17" s="50">
        <v>145</v>
      </c>
      <c r="K17" s="50"/>
      <c r="L17" s="50"/>
      <c r="M17" s="50">
        <v>0</v>
      </c>
      <c r="N17" s="50">
        <v>0</v>
      </c>
      <c r="O17" s="50">
        <v>0</v>
      </c>
      <c r="P17" s="50">
        <v>0</v>
      </c>
      <c r="Q17" s="50">
        <v>0</v>
      </c>
      <c r="R17" s="50">
        <v>0</v>
      </c>
      <c r="S17" s="50">
        <v>0</v>
      </c>
      <c r="T17" s="50">
        <v>0</v>
      </c>
      <c r="U17" s="50">
        <v>0</v>
      </c>
      <c r="V17" s="50">
        <v>0</v>
      </c>
      <c r="W17" s="50">
        <v>0</v>
      </c>
      <c r="X17" s="60">
        <v>0</v>
      </c>
    </row>
    <row r="18" spans="1:24" s="46" customFormat="1" ht="13.8" thickBot="1" x14ac:dyDescent="0.3">
      <c r="A18" s="51" t="s">
        <v>6</v>
      </c>
      <c r="B18" s="154" t="str">
        <f t="shared" si="3"/>
        <v/>
      </c>
      <c r="C18" s="130">
        <v>-102</v>
      </c>
      <c r="D18" s="50">
        <v>0</v>
      </c>
      <c r="E18" s="91">
        <v>236</v>
      </c>
      <c r="F18" s="50"/>
      <c r="G18" s="50"/>
      <c r="H18" s="50"/>
      <c r="I18" s="50">
        <v>3</v>
      </c>
      <c r="J18" s="50">
        <v>180</v>
      </c>
      <c r="K18" s="50">
        <v>30</v>
      </c>
      <c r="L18" s="50"/>
      <c r="M18" s="50">
        <v>0</v>
      </c>
      <c r="N18" s="50">
        <v>0</v>
      </c>
      <c r="O18" s="50"/>
      <c r="P18" s="50">
        <v>0</v>
      </c>
      <c r="Q18" s="50">
        <v>0</v>
      </c>
      <c r="R18" s="50">
        <v>0</v>
      </c>
      <c r="S18" s="50">
        <v>0</v>
      </c>
      <c r="T18" s="50">
        <v>0</v>
      </c>
      <c r="U18" s="50">
        <v>0</v>
      </c>
      <c r="V18" s="50">
        <v>0</v>
      </c>
      <c r="W18" s="50">
        <v>0</v>
      </c>
      <c r="X18" s="60">
        <v>0</v>
      </c>
    </row>
    <row r="19" spans="1:24" s="67" customFormat="1" ht="13.8" thickBot="1" x14ac:dyDescent="0.3">
      <c r="A19" s="55" t="s">
        <v>91</v>
      </c>
      <c r="B19" s="56">
        <f t="shared" si="3"/>
        <v>1.1889862327909888</v>
      </c>
      <c r="C19" s="149">
        <v>-2343</v>
      </c>
      <c r="D19" s="74">
        <v>-2091</v>
      </c>
      <c r="E19" s="57">
        <f t="shared" ref="E19" si="4">SUM(E16:E18)</f>
        <v>5247</v>
      </c>
      <c r="F19" s="74">
        <f t="shared" ref="F19:O19" si="5">SUM(F16:F18)</f>
        <v>2397</v>
      </c>
      <c r="G19" s="74">
        <f t="shared" si="5"/>
        <v>957</v>
      </c>
      <c r="H19" s="74">
        <f t="shared" si="5"/>
        <v>2080</v>
      </c>
      <c r="I19" s="74">
        <f t="shared" si="5"/>
        <v>1393</v>
      </c>
      <c r="J19" s="74">
        <f t="shared" si="5"/>
        <v>1823</v>
      </c>
      <c r="K19" s="74">
        <f t="shared" si="5"/>
        <v>143</v>
      </c>
      <c r="L19" s="74">
        <f t="shared" si="5"/>
        <v>751</v>
      </c>
      <c r="M19" s="74">
        <f t="shared" si="5"/>
        <v>898</v>
      </c>
      <c r="N19" s="74">
        <f t="shared" si="5"/>
        <v>2150</v>
      </c>
      <c r="O19" s="74">
        <f t="shared" si="5"/>
        <v>1850</v>
      </c>
      <c r="P19" s="74">
        <v>1500</v>
      </c>
      <c r="Q19" s="74">
        <f>SUM(Q16:Q18)</f>
        <v>2800</v>
      </c>
      <c r="R19" s="74">
        <f>SUM(R16:R18)</f>
        <v>2500</v>
      </c>
      <c r="S19" s="74">
        <f t="shared" ref="S19:X19" si="6">SUM(S16:S18)</f>
        <v>2500</v>
      </c>
      <c r="T19" s="74">
        <f t="shared" si="6"/>
        <v>2500</v>
      </c>
      <c r="U19" s="74">
        <f t="shared" si="6"/>
        <v>2900</v>
      </c>
      <c r="V19" s="74">
        <f t="shared" si="6"/>
        <v>1000</v>
      </c>
      <c r="W19" s="74">
        <f t="shared" si="6"/>
        <v>800</v>
      </c>
      <c r="X19" s="75">
        <f t="shared" si="6"/>
        <v>1000</v>
      </c>
    </row>
    <row r="20" spans="1:24" s="46" customFormat="1" x14ac:dyDescent="0.25">
      <c r="B20" s="46" t="s">
        <v>177</v>
      </c>
    </row>
    <row r="21" spans="1:24" s="46" customFormat="1" x14ac:dyDescent="0.25">
      <c r="I21" s="50"/>
      <c r="J21" s="50"/>
    </row>
    <row r="22" spans="1:24" s="46" customFormat="1" x14ac:dyDescent="0.25">
      <c r="F22" s="50"/>
      <c r="G22" s="50"/>
      <c r="H22" s="50"/>
      <c r="I22" s="50"/>
      <c r="J22" s="50"/>
    </row>
    <row r="23" spans="1:24" x14ac:dyDescent="0.25">
      <c r="F23" s="1"/>
      <c r="G23" s="1"/>
    </row>
    <row r="24" spans="1:24" x14ac:dyDescent="0.25">
      <c r="F24" s="1"/>
      <c r="G24" s="1"/>
      <c r="H24" s="1"/>
      <c r="I24" s="1"/>
      <c r="J24" s="1"/>
      <c r="K24" s="1"/>
    </row>
    <row r="25" spans="1:24" x14ac:dyDescent="0.25">
      <c r="E25" s="1"/>
    </row>
  </sheetData>
  <conditionalFormatting sqref="E1">
    <cfRule type="expression" dxfId="1" priority="2">
      <formula>ISBLANK(XFD1)=FALSE</formula>
    </cfRule>
  </conditionalFormatting>
  <conditionalFormatting sqref="E15">
    <cfRule type="expression" dxfId="0" priority="1">
      <formula>ISBLANK(XFD15)=FALSE</formula>
    </cfRule>
  </conditionalFormatting>
  <pageMargins left="0.75" right="0.75" top="1" bottom="1" header="0.5" footer="0.5"/>
  <pageSetup paperSize="9" scale="66" fitToHeight="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5a9754-d989-458f-8bd1-64889b46f6fa">
      <Terms xmlns="http://schemas.microsoft.com/office/infopath/2007/PartnerControls"/>
    </lcf76f155ced4ddcb4097134ff3c332f>
    <TaxCatchAll xmlns="0302a5af-5ac8-462a-a23b-b4d1027da43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B941D97F322B428ECE0E94A7E9CB38" ma:contentTypeVersion="19" ma:contentTypeDescription="Create a new document." ma:contentTypeScope="" ma:versionID="236e16bdd5f4465509f8bd7fa7d81390">
  <xsd:schema xmlns:xsd="http://www.w3.org/2001/XMLSchema" xmlns:xs="http://www.w3.org/2001/XMLSchema" xmlns:p="http://schemas.microsoft.com/office/2006/metadata/properties" xmlns:ns2="5d5a9754-d989-458f-8bd1-64889b46f6fa" xmlns:ns3="0302a5af-5ac8-462a-a23b-b4d1027da431" targetNamespace="http://schemas.microsoft.com/office/2006/metadata/properties" ma:root="true" ma:fieldsID="14167898d1eea8b50dfb676641bd7e3c" ns2:_="" ns3:_="">
    <xsd:import namespace="5d5a9754-d989-458f-8bd1-64889b46f6fa"/>
    <xsd:import namespace="0302a5af-5ac8-462a-a23b-b4d1027da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5a9754-d989-458f-8bd1-64889b46f6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0e4ba69-e80c-4913-b477-8a96dcaffc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02a5af-5ac8-462a-a23b-b4d1027da43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86be234-e780-497d-b4dc-e60f5fc21a6b}" ma:internalName="TaxCatchAll" ma:showField="CatchAllData" ma:web="0302a5af-5ac8-462a-a23b-b4d1027da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192D2F-C931-4D49-837C-867C1D4D956E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501F1DD-AA85-49B1-8DE4-BDD147E932DC}">
  <ds:schemaRefs>
    <ds:schemaRef ds:uri="0302a5af-5ac8-462a-a23b-b4d1027da431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5d5a9754-d989-458f-8bd1-64889b46f6fa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0D47335-BB8D-44E0-9725-FDC3B5B84F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5a9754-d989-458f-8bd1-64889b46f6fa"/>
    <ds:schemaRef ds:uri="0302a5af-5ac8-462a-a23b-b4d1027da4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51F078A-4A22-D047-B4E3-6C3C1DE783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3</vt:i4>
      </vt:variant>
    </vt:vector>
  </HeadingPairs>
  <TitlesOfParts>
    <vt:vector size="20" baseType="lpstr">
      <vt:lpstr>Intro</vt:lpstr>
      <vt:lpstr>US</vt:lpstr>
      <vt:lpstr>Europe - country</vt:lpstr>
      <vt:lpstr>Europe - variety</vt:lpstr>
      <vt:lpstr>Austria</vt:lpstr>
      <vt:lpstr>Belgium</vt:lpstr>
      <vt:lpstr>Czech Republic</vt:lpstr>
      <vt:lpstr>Denmark</vt:lpstr>
      <vt:lpstr>France</vt:lpstr>
      <vt:lpstr>Germany</vt:lpstr>
      <vt:lpstr>Italy</vt:lpstr>
      <vt:lpstr>Poland</vt:lpstr>
      <vt:lpstr>Portugal</vt:lpstr>
      <vt:lpstr>Spain</vt:lpstr>
      <vt:lpstr>Switzerland</vt:lpstr>
      <vt:lpstr>Netherlands</vt:lpstr>
      <vt:lpstr>UK</vt:lpstr>
      <vt:lpstr>'Europe - country'!Print_Area</vt:lpstr>
      <vt:lpstr>'Europe - variety'!Print_Area</vt:lpstr>
      <vt:lpstr>US!Print_Area</vt:lpstr>
    </vt:vector>
  </TitlesOfParts>
  <Company>Freshfell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</dc:creator>
  <cp:lastModifiedBy>Gil Kaufman</cp:lastModifiedBy>
  <cp:lastPrinted>2013-04-12T07:44:14Z</cp:lastPrinted>
  <dcterms:created xsi:type="dcterms:W3CDTF">2006-12-13T13:34:27Z</dcterms:created>
  <dcterms:modified xsi:type="dcterms:W3CDTF">2026-05-05T09:05:04Z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BUILTIN\Administrators</vt:lpwstr>
  </property>
  <property fmtid="{D5CDD505-2E9C-101B-9397-08002B2CF9AE}" pid="3" name="Order">
    <vt:lpwstr>423200.000000000</vt:lpwstr>
  </property>
  <property fmtid="{D5CDD505-2E9C-101B-9397-08002B2CF9AE}" pid="4" name="display_urn:schemas-microsoft-com:office:office#Author">
    <vt:lpwstr>BUILTIN\Administrators</vt:lpwstr>
  </property>
  <property fmtid="{D5CDD505-2E9C-101B-9397-08002B2CF9AE}" pid="5" name="MediaServiceImageTags">
    <vt:lpwstr/>
  </property>
  <property fmtid="{D5CDD505-2E9C-101B-9397-08002B2CF9AE}" pid="6" name="ContentTypeId">
    <vt:lpwstr>0x01010052B941D97F322B428ECE0E94A7E9CB38</vt:lpwstr>
  </property>
</Properties>
</file>